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Drivers" sheetId="2" state="visible" r:id="rId4"/>
    <sheet name="Member_Build" sheetId="3" state="visible" r:id="rId5"/>
    <sheet name="Revenue" sheetId="4" state="visible" r:id="rId6"/>
    <sheet name="COGS" sheetId="5" state="visible" r:id="rId7"/>
    <sheet name="Headcount" sheetId="6" state="visible" r:id="rId8"/>
    <sheet name="Fixed_OpEx" sheetId="7" state="visible" r:id="rId9"/>
    <sheet name="Capex" sheetId="8" state="visible" r:id="rId10"/>
    <sheet name="PL_Monthly" sheetId="9" state="visible" r:id="rId11"/>
    <sheet name="Summary" sheetId="10" state="visible" r:id="rId12"/>
    <sheet name="Unit_Economics" sheetId="11" state="visible" r:id="rId13"/>
    <sheet name="Use_of_Funds" sheetId="12" state="visible" r:id="rId14"/>
    <sheet name="Sources" sheetId="13" state="visible" r:id="rId15"/>
  </sheets>
  <definedNames>
    <definedName function="false" hidden="false" name="scenario" vbProcedure="false">Cover!$C$5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<sst xmlns="http://schemas.openxmlformats.org/spreadsheetml/2006/main" count="1122" uniqueCount="453">
  <si>
    <t xml:space="preserve">SYSTEMM — Revenue Model</t>
  </si>
  <si>
    <t xml:space="preserve">Investor model · monthly P&amp;L through Year 3 · base + upside scenarios</t>
  </si>
  <si>
    <t xml:space="preserve">SCENARIO  ·  toggle this cell  →</t>
  </si>
  <si>
    <t xml:space="preserve">Base</t>
  </si>
  <si>
    <t xml:space="preserve">HEADLINE OUTPUTS</t>
  </si>
  <si>
    <t xml:space="preserve">Y1</t>
  </si>
  <si>
    <t xml:space="preserve">Y2</t>
  </si>
  <si>
    <t xml:space="preserve">Y3</t>
  </si>
  <si>
    <t xml:space="preserve">STEADY (Y3 RUN-RATE)</t>
  </si>
  <si>
    <t xml:space="preserve">Members (end of period)</t>
  </si>
  <si>
    <t xml:space="preserve">Revenue</t>
  </si>
  <si>
    <t xml:space="preserve">Gross profit</t>
  </si>
  <si>
    <t xml:space="preserve">Gross margin</t>
  </si>
  <si>
    <t xml:space="preserve">Fixed OpEx</t>
  </si>
  <si>
    <t xml:space="preserve">Acquisition spend</t>
  </si>
  <si>
    <t xml:space="preserve">EBITDA</t>
  </si>
  <si>
    <t xml:space="preserve">EBITDA margin</t>
  </si>
  <si>
    <t xml:space="preserve">USE OF FUNDS  ·  raise size required</t>
  </si>
  <si>
    <t xml:space="preserve">Capex — Y0 NYC Midtown buildout (clinic + gym + tech + brand)</t>
  </si>
  <si>
    <t xml:space="preserve">Working capital — 6 mo OpEx reserve</t>
  </si>
  <si>
    <t xml:space="preserve">Inventory — initial compounds</t>
  </si>
  <si>
    <t xml:space="preserve">Cumulative cash burn until breakeven</t>
  </si>
  <si>
    <t xml:space="preserve">Y2 expansion capex (Miami / Palm Beach buildout)</t>
  </si>
  <si>
    <t xml:space="preserve">Buffer (15%)</t>
  </si>
  <si>
    <t xml:space="preserve">Total raise needed</t>
  </si>
  <si>
    <t xml:space="preserve">Sign convention: revenue and gross profit positive; OpEx, CAC, capex, depreciation positive numbers — but reduce EBITDA in formulas. Scenario toggle is the named range 'scenario' (Cover!C5). All driver values on Drivers tab pick base or upside via this toggle.</t>
  </si>
  <si>
    <t xml:space="preserve">Drivers</t>
  </si>
  <si>
    <t xml:space="preserve">All assumptions for the model. Blue cells are inputs you can change. Active column picks Base or Upside based on the scenario cell on the Cover tab.</t>
  </si>
  <si>
    <t xml:space="preserve">DRIVER</t>
  </si>
  <si>
    <t xml:space="preserve">BASE</t>
  </si>
  <si>
    <t xml:space="preserve">UPSIDE</t>
  </si>
  <si>
    <t xml:space="preserve">ACTIVE</t>
  </si>
  <si>
    <t xml:space="preserve">UNIT</t>
  </si>
  <si>
    <t xml:space="preserve">NOTE / SOURCE</t>
  </si>
  <si>
    <t xml:space="preserve">PRICING</t>
  </si>
  <si>
    <t xml:space="preserve">Tier 1 — monthly price</t>
  </si>
  <si>
    <t xml:space="preserve">$/mo</t>
  </si>
  <si>
    <t xml:space="preserve">Member intake</t>
  </si>
  <si>
    <t xml:space="preserve">Tier 1 — annual price</t>
  </si>
  <si>
    <t xml:space="preserve">$/yr</t>
  </si>
  <si>
    <t xml:space="preserve">Member intake; ~7% discount vs monthly</t>
  </si>
  <si>
    <t xml:space="preserve">Tier 2 — monthly price</t>
  </si>
  <si>
    <t xml:space="preserve">Tier 2 — annual price</t>
  </si>
  <si>
    <t xml:space="preserve">Tier 1 share of members</t>
  </si>
  <si>
    <t xml:space="preserve">%</t>
  </si>
  <si>
    <t xml:space="preserve">Base 50/50; upside skews premium</t>
  </si>
  <si>
    <t xml:space="preserve">Annual prepay share</t>
  </si>
  <si>
    <t xml:space="preserve">Members on annual vs monthly</t>
  </si>
  <si>
    <t xml:space="preserve">Onboarding fee</t>
  </si>
  <si>
    <t xml:space="preserve">$</t>
  </si>
  <si>
    <t xml:space="preserve">One-time, charged at activation</t>
  </si>
  <si>
    <t xml:space="preserve">MEMBER RAMP</t>
  </si>
  <si>
    <t xml:space="preserve">Members live at launch (M1)</t>
  </si>
  <si>
    <t xml:space="preserve">#</t>
  </si>
  <si>
    <t xml:space="preserve">Founder cohort + waitlist</t>
  </si>
  <si>
    <t xml:space="preserve">Members end of Y1 (M12)</t>
  </si>
  <si>
    <t xml:space="preserve">First 12 mo</t>
  </si>
  <si>
    <t xml:space="preserve">Members end of Y2 (M24)</t>
  </si>
  <si>
    <t xml:space="preserve">NYC at capacity, Miami ramping</t>
  </si>
  <si>
    <t xml:space="preserve">Members end of Y3 (M36)</t>
  </si>
  <si>
    <t xml:space="preserve">NYC + Miami at scale</t>
  </si>
  <si>
    <t xml:space="preserve">Annual gross churn</t>
  </si>
  <si>
    <t xml:space="preserve">%/yr</t>
  </si>
  <si>
    <t xml:space="preserve">Concierge/longevity benchmark 10–20%</t>
  </si>
  <si>
    <t xml:space="preserve">ACQUISITION</t>
  </si>
  <si>
    <t xml:space="preserve">Blended CAC</t>
  </si>
  <si>
    <t xml:space="preserve">$/mem</t>
  </si>
  <si>
    <t xml:space="preserve">40% referral mix at base</t>
  </si>
  <si>
    <t xml:space="preserve">Share of new from referrals</t>
  </si>
  <si>
    <t xml:space="preserve">DIGITAL TIER  ·  APP-ONLY MEMBERSHIP</t>
  </si>
  <si>
    <t xml:space="preserve">Digital tier price</t>
  </si>
  <si>
    <t xml:space="preserve">App-only membership</t>
  </si>
  <si>
    <t xml:space="preserve">Digital members at launch</t>
  </si>
  <si>
    <t xml:space="preserve">Digital members EOY1</t>
  </si>
  <si>
    <t xml:space="preserve">Pure digital, no geography limit</t>
  </si>
  <si>
    <t xml:space="preserve">Digital members EOY2</t>
  </si>
  <si>
    <t xml:space="preserve">Network effects + content engine</t>
  </si>
  <si>
    <t xml:space="preserve">Digital members EOY3</t>
  </si>
  <si>
    <t xml:space="preserve">Steady-state SaaS metrics</t>
  </si>
  <si>
    <t xml:space="preserve">Digital annual churn</t>
  </si>
  <si>
    <t xml:space="preserve">Higher than physical; SaaS benchmark 20-35%</t>
  </si>
  <si>
    <t xml:space="preserve">Digital CAC</t>
  </si>
  <si>
    <t xml:space="preserve">Mostly organic + content + paid social</t>
  </si>
  <si>
    <t xml:space="preserve">Digital COGS / mem / mo</t>
  </si>
  <si>
    <t xml:space="preserve">App hosting + content + processing</t>
  </si>
  <si>
    <t xml:space="preserve">ANCILLARY REVENUE</t>
  </si>
  <si>
    <t xml:space="preserve">Rx revenue per active</t>
  </si>
  <si>
    <t xml:space="preserve">$/mo/mem</t>
  </si>
  <si>
    <t xml:space="preserve">% of members on Rx</t>
  </si>
  <si>
    <t xml:space="preserve">Rx gross margin</t>
  </si>
  <si>
    <t xml:space="preserve">Net of pharmacy COGS</t>
  </si>
  <si>
    <t xml:space="preserve">Extra panels / member / yr</t>
  </si>
  <si>
    <t xml:space="preserve">Beyond included</t>
  </si>
  <si>
    <t xml:space="preserve">Price per extra panel</t>
  </si>
  <si>
    <t xml:space="preserve">Cost per extra panel</t>
  </si>
  <si>
    <t xml:space="preserve">Add-on sessions / member / mo</t>
  </si>
  <si>
    <t xml:space="preserve">Add-on session price</t>
  </si>
  <si>
    <t xml:space="preserve">% of members buying add-ons</t>
  </si>
  <si>
    <t xml:space="preserve">Coach pay per add-on session</t>
  </si>
  <si>
    <t xml:space="preserve">Per-session basis</t>
  </si>
  <si>
    <t xml:space="preserve">IV therapy revenue per active</t>
  </si>
  <si>
    <t xml:space="preserve">Confirmed; rev-per-active</t>
  </si>
  <si>
    <t xml:space="preserve">% of members on IVs</t>
  </si>
  <si>
    <t xml:space="preserve">Default per Mitchell</t>
  </si>
  <si>
    <t xml:space="preserve">IV therapy gross margin</t>
  </si>
  <si>
    <t xml:space="preserve">Supplement revenue / mem / mo</t>
  </si>
  <si>
    <t xml:space="preserve">Tier 1 includes; Tier 2 retail</t>
  </si>
  <si>
    <t xml:space="preserve">% of members buying supps</t>
  </si>
  <si>
    <t xml:space="preserve">T1 100% incl, T2 ~70%</t>
  </si>
  <si>
    <t xml:space="preserve">Supplement gross margin</t>
  </si>
  <si>
    <t xml:space="preserve">Wholesale margin</t>
  </si>
  <si>
    <t xml:space="preserve">VARIABLE COSTS (COGS)</t>
  </si>
  <si>
    <t xml:space="preserve">Compound cost / active mem / mo</t>
  </si>
  <si>
    <t xml:space="preserve">Default benchmark</t>
  </si>
  <si>
    <t xml:space="preserve">Shipping per fill</t>
  </si>
  <si>
    <t xml:space="preserve">$/fill</t>
  </si>
  <si>
    <t xml:space="preserve">Fills per active mem / mo</t>
  </si>
  <si>
    <t xml:space="preserve">Default</t>
  </si>
  <si>
    <t xml:space="preserve">Cost per included panel</t>
  </si>
  <si>
    <t xml:space="preserve">Default benchmark; 4 panels/yr per member</t>
  </si>
  <si>
    <t xml:space="preserve">Included panels / mem / yr</t>
  </si>
  <si>
    <t xml:space="preserve">#/yr</t>
  </si>
  <si>
    <t xml:space="preserve">Physician comp per visit</t>
  </si>
  <si>
    <t xml:space="preserve">Per-visit comp model</t>
  </si>
  <si>
    <t xml:space="preserve">Physician visits / mem / yr</t>
  </si>
  <si>
    <t xml:space="preserve">Included visits</t>
  </si>
  <si>
    <t xml:space="preserve">Coach comp per included session</t>
  </si>
  <si>
    <t xml:space="preserve">Per-session pay</t>
  </si>
  <si>
    <t xml:space="preserve">Included sessions / mem / mo (blended)</t>
  </si>
  <si>
    <t xml:space="preserve">#/mo</t>
  </si>
  <si>
    <t xml:space="preserve">T1=12, T2=8 → 10 blended at 50/50</t>
  </si>
  <si>
    <t xml:space="preserve">App / EMR cost / mem / mo</t>
  </si>
  <si>
    <t xml:space="preserve">Bank/merchant fees / mem / mo</t>
  </si>
  <si>
    <t xml:space="preserve">Payment processing rate</t>
  </si>
  <si>
    <t xml:space="preserve">HEADCOUNT — SALARIES &amp; STARTING COUNTS</t>
  </si>
  <si>
    <t xml:space="preserve">Benefits / payroll tax load</t>
  </si>
  <si>
    <t xml:space="preserve">Default 22%</t>
  </si>
  <si>
    <t xml:space="preserve">Salary — CEO / Founder</t>
  </si>
  <si>
    <t xml:space="preserve">Headcount — CEO / Founder (Y1)</t>
  </si>
  <si>
    <t xml:space="preserve">Steady-state by EOY</t>
  </si>
  <si>
    <t xml:space="preserve">Headcount — CEO / Founder (Y2)</t>
  </si>
  <si>
    <t xml:space="preserve">Headcount — CEO / Founder (Y3)</t>
  </si>
  <si>
    <t xml:space="preserve">Salary — Medical Director / PC</t>
  </si>
  <si>
    <t xml:space="preserve">Headcount — Medical Director / PC (Y1)</t>
  </si>
  <si>
    <t xml:space="preserve">Headcount — Medical Director / PC (Y2)</t>
  </si>
  <si>
    <t xml:space="preserve">Headcount — Medical Director / PC (Y3)</t>
  </si>
  <si>
    <t xml:space="preserve">Salary — Nurse Practitioner</t>
  </si>
  <si>
    <t xml:space="preserve">Headcount — Nurse Practitioner (Y1)</t>
  </si>
  <si>
    <t xml:space="preserve">Headcount — Nurse Practitioner (Y2)</t>
  </si>
  <si>
    <t xml:space="preserve">Headcount — Nurse Practitioner (Y3)</t>
  </si>
  <si>
    <t xml:space="preserve">Salary — Medical Assistant</t>
  </si>
  <si>
    <t xml:space="preserve">Headcount — Medical Assistant (Y1)</t>
  </si>
  <si>
    <t xml:space="preserve">Headcount — Medical Assistant (Y2)</t>
  </si>
  <si>
    <t xml:space="preserve">Headcount — Medical Assistant (Y3)</t>
  </si>
  <si>
    <t xml:space="preserve">Salary — Director of Performance</t>
  </si>
  <si>
    <t xml:space="preserve">Headcount — Director of Performance (Y1)</t>
  </si>
  <si>
    <t xml:space="preserve">Headcount — Director of Performance (Y2)</t>
  </si>
  <si>
    <t xml:space="preserve">Headcount — Director of Performance (Y3)</t>
  </si>
  <si>
    <t xml:space="preserve">Salary — Front desk / concierge</t>
  </si>
  <si>
    <t xml:space="preserve">Headcount — Front desk / concierge (Y1)</t>
  </si>
  <si>
    <t xml:space="preserve">Headcount — Front desk / concierge (Y2)</t>
  </si>
  <si>
    <t xml:space="preserve">Headcount — Front desk / concierge (Y3)</t>
  </si>
  <si>
    <t xml:space="preserve">Salary — Ops / GM</t>
  </si>
  <si>
    <t xml:space="preserve">Headcount — Ops / GM (Y1)</t>
  </si>
  <si>
    <t xml:space="preserve">Headcount — Ops / GM (Y2)</t>
  </si>
  <si>
    <t xml:space="preserve">Headcount — Ops / GM (Y3)</t>
  </si>
  <si>
    <t xml:space="preserve">Salary — Sales Lead</t>
  </si>
  <si>
    <t xml:space="preserve">Headcount — Sales Lead (Y1)</t>
  </si>
  <si>
    <t xml:space="preserve">Headcount — Sales Lead (Y2)</t>
  </si>
  <si>
    <t xml:space="preserve">Headcount — Sales Lead (Y3)</t>
  </si>
  <si>
    <t xml:space="preserve">FIXED OPEX — REAL ESTATE &amp; OVERHEAD</t>
  </si>
  <si>
    <t xml:space="preserve">NYC clinic rent</t>
  </si>
  <si>
    <t xml:space="preserve">NYC clinic CAM/util</t>
  </si>
  <si>
    <t xml:space="preserve">NYC gym rent</t>
  </si>
  <si>
    <t xml:space="preserve">NYC gym CAM/util</t>
  </si>
  <si>
    <t xml:space="preserve">Free rent / TI period</t>
  </si>
  <si>
    <t xml:space="preserve">months</t>
  </si>
  <si>
    <t xml:space="preserve">6 months at start</t>
  </si>
  <si>
    <t xml:space="preserve">Loc 2 opens (Miami / Palm Beach)</t>
  </si>
  <si>
    <t xml:space="preserve">M</t>
  </si>
  <si>
    <t xml:space="preserve">Y2 — South Florida flagship</t>
  </si>
  <si>
    <t xml:space="preserve">Loc 3 opens (NYC #2)</t>
  </si>
  <si>
    <t xml:space="preserve">Y3 — second NYC location, committed</t>
  </si>
  <si>
    <t xml:space="preserve">Rent / loc multiplier</t>
  </si>
  <si>
    <t xml:space="preserve">Loc 2/3 rent relative to NYC #1; 1.0 = same</t>
  </si>
  <si>
    <t xml:space="preserve">Tech (EMR+app+CRM) / mo</t>
  </si>
  <si>
    <t xml:space="preserve">EMR 2k + app 1.5k + comms 1.5k</t>
  </si>
  <si>
    <t xml:space="preserve">Pro services / mo</t>
  </si>
  <si>
    <t xml:space="preserve">Legal 3 + accounting 2 + malpractice 2.5 + GL 0.8</t>
  </si>
  <si>
    <t xml:space="preserve">Supplies / consumables / mo</t>
  </si>
  <si>
    <t xml:space="preserve">Marketing Y1 (avg/mo)</t>
  </si>
  <si>
    <t xml:space="preserve">Marketing % of revenue (steady)</t>
  </si>
  <si>
    <t xml:space="preserve">Steady-state from Y2+</t>
  </si>
  <si>
    <t xml:space="preserve">CAPEX — PER LOCATION (NYC = LOCATION 1)</t>
  </si>
  <si>
    <t xml:space="preserve">Clinic TI (gross)</t>
  </si>
  <si>
    <t xml:space="preserve">Clinic TI reimbursement</t>
  </si>
  <si>
    <t xml:space="preserve">Clinic equipment</t>
  </si>
  <si>
    <t xml:space="preserve">DEXA, phlebotomy, etc.</t>
  </si>
  <si>
    <t xml:space="preserve">Clinic FF&amp;E</t>
  </si>
  <si>
    <t xml:space="preserve">Gym TI / buildout</t>
  </si>
  <si>
    <t xml:space="preserve">Training equipment</t>
  </si>
  <si>
    <t xml:space="preserve">Recovery equipment</t>
  </si>
  <si>
    <t xml:space="preserve">Sauna, plunge, etc.</t>
  </si>
  <si>
    <t xml:space="preserve">App/software dev (one-time)</t>
  </si>
  <si>
    <t xml:space="preserve">Year 0 only</t>
  </si>
  <si>
    <t xml:space="preserve">Brand / marketing launch (one-time)</t>
  </si>
  <si>
    <t xml:space="preserve">Initial inventory (compounds)</t>
  </si>
  <si>
    <t xml:space="preserve">Year 0</t>
  </si>
  <si>
    <t xml:space="preserve">Working capital reserve</t>
  </si>
  <si>
    <t xml:space="preserve">Months of OpEx held as cash</t>
  </si>
  <si>
    <t xml:space="preserve">Equipment useful life</t>
  </si>
  <si>
    <t xml:space="preserve">yrs</t>
  </si>
  <si>
    <t xml:space="preserve">TI useful life</t>
  </si>
  <si>
    <t xml:space="preserve">ENTITY SPLITS</t>
  </si>
  <si>
    <t xml:space="preserve">MSA fee — % of PC revenue</t>
  </si>
  <si>
    <t xml:space="preserve">Member intake; 70–90% typical</t>
  </si>
  <si>
    <t xml:space="preserve">IP royalty — % of PC revenue</t>
  </si>
  <si>
    <t xml:space="preserve">Training kept after coach comp</t>
  </si>
  <si>
    <t xml:space="preserve">Target PC net margin</t>
  </si>
  <si>
    <t xml:space="preserve">Doc pay is comp not profit</t>
  </si>
  <si>
    <t xml:space="preserve">Member Build</t>
  </si>
  <si>
    <t xml:space="preserve">Monthly member count, gross adds, churn. Linear ramp from M1→M12, M12→M24, M24→M36 endpoints.</t>
  </si>
  <si>
    <t xml:space="preserve">Period</t>
  </si>
  <si>
    <t xml:space="preserve">M1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</si>
  <si>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</si>
  <si>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</si>
  <si>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</si>
  <si>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</si>
  <si>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</si>
  <si>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</si>
  <si>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</si>
  <si>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</si>
  <si>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</si>
  <si>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</si>
  <si>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</si>
  <si>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</si>
  <si>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</si>
  <si>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</si>
  <si>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</si>
  <si>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</si>
  <si>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</si>
  <si>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M19</t>
  </si>
  <si>
    <t xml:space="preserve">M20</t>
  </si>
  <si>
    <t xml:space="preserve">M21</t>
  </si>
  <si>
    <t xml:space="preserve">M22</t>
  </si>
  <si>
    <t xml:space="preserve">M23</t>
  </si>
  <si>
    <t xml:space="preserve">M24</t>
  </si>
  <si>
    <t xml:space="preserve">M25</t>
  </si>
  <si>
    <t xml:space="preserve">M26</t>
  </si>
  <si>
    <t xml:space="preserve">M27</t>
  </si>
  <si>
    <t xml:space="preserve">M28</t>
  </si>
  <si>
    <t xml:space="preserve">M29</t>
  </si>
  <si>
    <t xml:space="preserve">M30</t>
  </si>
  <si>
    <t xml:space="preserve">M31</t>
  </si>
  <si>
    <t xml:space="preserve">M32</t>
  </si>
  <si>
    <t xml:space="preserve">M33</t>
  </si>
  <si>
    <t xml:space="preserve">M34</t>
  </si>
  <si>
    <t xml:space="preserve">M35</t>
  </si>
  <si>
    <t xml:space="preserve">M36</t>
  </si>
  <si>
    <t xml:space="preserve">Members — end of period</t>
  </si>
  <si>
    <t xml:space="preserve">Members — period average</t>
  </si>
  <si>
    <t xml:space="preserve">Monthly churn rate</t>
  </si>
  <si>
    <t xml:space="preserve">Members churned this month</t>
  </si>
  <si>
    <t xml:space="preserve">Net member change</t>
  </si>
  <si>
    <t xml:space="preserve">Gross new members</t>
  </si>
  <si>
    <t xml:space="preserve">Digital members — end of period</t>
  </si>
  <si>
    <t xml:space="preserve">Digital members — period average</t>
  </si>
  <si>
    <t xml:space="preserve">Digital monthly churn rate</t>
  </si>
  <si>
    <t xml:space="preserve">Digital members churned this month</t>
  </si>
  <si>
    <t xml:space="preserve">Digital net member change</t>
  </si>
  <si>
    <t xml:space="preserve">Digital gross new members</t>
  </si>
  <si>
    <t xml:space="preserve">Revenue Build</t>
  </si>
  <si>
    <t xml:space="preserve">Membership fees + 6 ancillary streams, all driven by Member_Build × Drivers.</t>
  </si>
  <si>
    <t xml:space="preserve">Blended membership ARPU / mo</t>
  </si>
  <si>
    <t xml:space="preserve">  Membership revenue</t>
  </si>
  <si>
    <t xml:space="preserve">  Onboarding fees</t>
  </si>
  <si>
    <t xml:space="preserve">Rx revenue</t>
  </si>
  <si>
    <t xml:space="preserve">Extra labs revenue</t>
  </si>
  <si>
    <t xml:space="preserve">Add-on training revenue</t>
  </si>
  <si>
    <t xml:space="preserve">IV therapy revenue</t>
  </si>
  <si>
    <t xml:space="preserve">Supplement / merch revenue</t>
  </si>
  <si>
    <t xml:space="preserve">Subtotal — Ancillary</t>
  </si>
  <si>
    <t xml:space="preserve">Subtotal — Physical (NYC + Miami + NYC#2)</t>
  </si>
  <si>
    <t xml:space="preserve">Digital tier revenue</t>
  </si>
  <si>
    <t xml:space="preserve">TOTAL REVENUE  ·  PHYSICAL + DIGITAL</t>
  </si>
  <si>
    <t xml:space="preserve">Variable Costs (COGS)</t>
  </si>
  <si>
    <t xml:space="preserve">Per-member variable costs scaled by avg members. Coach cost on included sessions is the largest single line.</t>
  </si>
  <si>
    <t xml:space="preserve">Compound wholesale</t>
  </si>
  <si>
    <t xml:space="preserve">Shipping &amp; fulfillment</t>
  </si>
  <si>
    <t xml:space="preserve">Lab cost — included panels</t>
  </si>
  <si>
    <t xml:space="preserve">Lab cost — extra panels</t>
  </si>
  <si>
    <t xml:space="preserve">Physician comp (per-visit)</t>
  </si>
  <si>
    <t xml:space="preserve">Coach comp — included sessions</t>
  </si>
  <si>
    <t xml:space="preserve">Coach comp — add-on sessions</t>
  </si>
  <si>
    <t xml:space="preserve">IV therapy COGS</t>
  </si>
  <si>
    <t xml:space="preserve">Supplement COGS</t>
  </si>
  <si>
    <t xml:space="preserve">App / EMR / mem</t>
  </si>
  <si>
    <t xml:space="preserve">Bank / merchant fees / mem</t>
  </si>
  <si>
    <t xml:space="preserve">Payment processing</t>
  </si>
  <si>
    <t xml:space="preserve">Digital tier COGS</t>
  </si>
  <si>
    <t xml:space="preserve">TOTAL COGS</t>
  </si>
  <si>
    <t xml:space="preserve">GROSS PROFIT</t>
  </si>
  <si>
    <t xml:space="preserve">Headcount</t>
  </si>
  <si>
    <t xml:space="preserve">Total comp (salary × (1+benefits)) per role per month, ramped from Y1→Y2→Y3 counts via month-of-year position.</t>
  </si>
  <si>
    <t xml:space="preserve">CEO / Founder</t>
  </si>
  <si>
    <t xml:space="preserve">Medical Director / PC</t>
  </si>
  <si>
    <t xml:space="preserve">Nurse Practitioner</t>
  </si>
  <si>
    <t xml:space="preserve">Medical Assistant</t>
  </si>
  <si>
    <t xml:space="preserve">Director of Performance</t>
  </si>
  <si>
    <t xml:space="preserve">Front desk / concierge</t>
  </si>
  <si>
    <t xml:space="preserve">Ops / GM</t>
  </si>
  <si>
    <t xml:space="preserve">Sales Lead</t>
  </si>
  <si>
    <t xml:space="preserve">TOTAL PAYROLL</t>
  </si>
  <si>
    <t xml:space="preserve">Total FTE (period end)</t>
  </si>
  <si>
    <t xml:space="preserve">Real estate (with free-rent and Miami timing), tech, pro services, marketing, supplies.</t>
  </si>
  <si>
    <t xml:space="preserve">Active locations (count)</t>
  </si>
  <si>
    <t xml:space="preserve">Clinic rent (all locations)</t>
  </si>
  <si>
    <t xml:space="preserve">Gym rent (all locations)</t>
  </si>
  <si>
    <t xml:space="preserve">CAM / utilities (all locations)</t>
  </si>
  <si>
    <t xml:space="preserve">Tech / software (EMR, app, CRM)</t>
  </si>
  <si>
    <t xml:space="preserve">Professional services</t>
  </si>
  <si>
    <t xml:space="preserve">Supplies / consumables</t>
  </si>
  <si>
    <t xml:space="preserve">Marketing</t>
  </si>
  <si>
    <t xml:space="preserve">Subtotal — Real estate + ops</t>
  </si>
  <si>
    <t xml:space="preserve">TOTAL FIXED OPEX (incl. payroll)</t>
  </si>
  <si>
    <t xml:space="preserve">Capex &amp; Depreciation</t>
  </si>
  <si>
    <t xml:space="preserve">Capex spent at month of opening for each location. Depreciation straight-line over equipment/TI useful lives.</t>
  </si>
  <si>
    <t xml:space="preserve">Capex — NYC (M1)</t>
  </si>
  <si>
    <t xml:space="preserve">Capex — Loc 2 Miami / PB (M of opening)</t>
  </si>
  <si>
    <t xml:space="preserve">Capex — Loc 3 NYC #2 (M of opening)</t>
  </si>
  <si>
    <t xml:space="preserve">TOTAL CAPEX SPEND</t>
  </si>
  <si>
    <t xml:space="preserve">Cumulative capex</t>
  </si>
  <si>
    <t xml:space="preserve">Depreciation (blended life 8 yrs)</t>
  </si>
  <si>
    <t xml:space="preserve">P&amp;L — Monthly</t>
  </si>
  <si>
    <t xml:space="preserve">Monthly revenue → gross profit → operating expenses → EBITDA. CAC counted as opex.</t>
  </si>
  <si>
    <t xml:space="preserve">Membership revenue</t>
  </si>
  <si>
    <t xml:space="preserve">Onboarding fees</t>
  </si>
  <si>
    <t xml:space="preserve">Ancillary revenue</t>
  </si>
  <si>
    <t xml:space="preserve">Total revenue</t>
  </si>
  <si>
    <t xml:space="preserve">COGS</t>
  </si>
  <si>
    <t xml:space="preserve">Payroll</t>
  </si>
  <si>
    <t xml:space="preserve">Real estate (rent + CAM)</t>
  </si>
  <si>
    <t xml:space="preserve">Tech / pro services / supplies</t>
  </si>
  <si>
    <t xml:space="preserve">Acquisition (physical + digital CAC × gross adds)</t>
  </si>
  <si>
    <t xml:space="preserve">Total OpEx</t>
  </si>
  <si>
    <t xml:space="preserve">Capex (info)</t>
  </si>
  <si>
    <t xml:space="preserve">Net cash flow (EBITDA − capex)</t>
  </si>
  <si>
    <t xml:space="preserve">Cumulative net cash flow</t>
  </si>
  <si>
    <t xml:space="preserve">Annual Summary</t>
  </si>
  <si>
    <t xml:space="preserve">Annualized totals from monthly P&amp;L. Steady column = M36 × 12 run-rate (Y3 exit run-rate).</t>
  </si>
  <si>
    <t xml:space="preserve">Y1 (M1-M12)</t>
  </si>
  <si>
    <t xml:space="preserve">Y2 (M13-M24)</t>
  </si>
  <si>
    <t xml:space="preserve">Y3 (M25-M36)</t>
  </si>
  <si>
    <t xml:space="preserve">Y3 EXIT RUN-RATE</t>
  </si>
  <si>
    <t xml:space="preserve">Real estate</t>
  </si>
  <si>
    <t xml:space="preserve">Tech / pro / supplies</t>
  </si>
  <si>
    <t xml:space="preserve">Acquisition (CAC)</t>
  </si>
  <si>
    <t xml:space="preserve">Capex</t>
  </si>
  <si>
    <t xml:space="preserve">Net cash flow</t>
  </si>
  <si>
    <t xml:space="preserve">Unit Economics</t>
  </si>
  <si>
    <t xml:space="preserve">Steady-state per-member economics. Computed from Drivers active values.</t>
  </si>
  <si>
    <t xml:space="preserve">METRIC</t>
  </si>
  <si>
    <t xml:space="preserve">VALUE</t>
  </si>
  <si>
    <t xml:space="preserve">BENCHMARK</t>
  </si>
  <si>
    <t xml:space="preserve">NOTE</t>
  </si>
  <si>
    <t xml:space="preserve">Membership ARPU / mo (blended)</t>
  </si>
  <si>
    <t xml:space="preserve">Tier-mix × annual/monthly mix</t>
  </si>
  <si>
    <t xml:space="preserve">Ancillary revenue / mo / mem</t>
  </si>
  <si>
    <t xml:space="preserve">Weighted avg per active member</t>
  </si>
  <si>
    <t xml:space="preserve">TOTAL ARPU / mo / mem</t>
  </si>
  <si>
    <t xml:space="preserve">Total ARPU / yr / mem</t>
  </si>
  <si>
    <t xml:space="preserve">Annualized</t>
  </si>
  <si>
    <t xml:space="preserve">Variable cost / mo / mem</t>
  </si>
  <si>
    <t xml:space="preserve">All variable lines per active member</t>
  </si>
  <si>
    <t xml:space="preserve">Contribution margin / mo / mem</t>
  </si>
  <si>
    <t xml:space="preserve">Before fixed cost / CAC</t>
  </si>
  <si>
    <t xml:space="preserve">Contribution margin %</t>
  </si>
  <si>
    <t xml:space="preserve">CAC</t>
  </si>
  <si>
    <t xml:space="preserve">$500–$2,500</t>
  </si>
  <si>
    <t xml:space="preserve">Concierge benchmark</t>
  </si>
  <si>
    <t xml:space="preserve">Avg member life (months)</t>
  </si>
  <si>
    <t xml:space="preserve">1 / monthly churn, in months</t>
  </si>
  <si>
    <t xml:space="preserve">LTV (gross profit per member)</t>
  </si>
  <si>
    <t xml:space="preserve">Contribution × life</t>
  </si>
  <si>
    <t xml:space="preserve">LTV / CAC</t>
  </si>
  <si>
    <t xml:space="preserve">&gt;3x</t>
  </si>
  <si>
    <t xml:space="preserve">&gt;3x healthy, &gt;5x excellent</t>
  </si>
  <si>
    <t xml:space="preserve">Payback period</t>
  </si>
  <si>
    <t xml:space="preserve">&lt;18 mo</t>
  </si>
  <si>
    <t xml:space="preserve">&lt;9 mo excellent, &lt;18 mo healthy</t>
  </si>
  <si>
    <t xml:space="preserve">Use of Funds</t>
  </si>
  <si>
    <t xml:space="preserve">Capital required at close. Funds Y0 NYC Midtown buildout, OpEx reserve until cash-flow-positive, Y2 Miami / Palm Beach expansion, plus buffer. Y3 NYC #2 funded from cash flow.</t>
  </si>
  <si>
    <t xml:space="preserve">ITEM</t>
  </si>
  <si>
    <t xml:space="preserve">NYC clinic + gym buildout (Y0)</t>
  </si>
  <si>
    <t xml:space="preserve">TI net of landlord reimbursement + equipment + FF&amp;E + gym + recovery</t>
  </si>
  <si>
    <t xml:space="preserve">App / software dev (Y0)</t>
  </si>
  <si>
    <t xml:space="preserve">One-time</t>
  </si>
  <si>
    <t xml:space="preserve">Brand / launch marketing (Y0)</t>
  </si>
  <si>
    <t xml:space="preserve">Initial inventory</t>
  </si>
  <si>
    <t xml:space="preserve">Compounds</t>
  </si>
  <si>
    <t xml:space="preserve">Y2 Miami / Palm Beach buildout</t>
  </si>
  <si>
    <t xml:space="preserve">Same kit as NYC Midtown; opens M14-M16. NYC #2 (Y3) funded from cash flow.</t>
  </si>
  <si>
    <t xml:space="preserve">Max trough of cumulative net cash flow (already includes capex)</t>
  </si>
  <si>
    <t xml:space="preserve">Subtotal — funding before buffer</t>
  </si>
  <si>
    <t xml:space="preserve">Greater of cumulative burn or total capex</t>
  </si>
  <si>
    <t xml:space="preserve">Contingency on top</t>
  </si>
  <si>
    <t xml:space="preserve">TOTAL RAISE NEEDED</t>
  </si>
  <si>
    <t xml:space="preserve">Round size to fully fund through Y3 EOY</t>
  </si>
  <si>
    <t xml:space="preserve">Funded for runway (months)</t>
  </si>
  <si>
    <t xml:space="preserve">Total raise / avg monthly OpEx</t>
  </si>
  <si>
    <t xml:space="preserve">Sources &amp; Assumptions</t>
  </si>
  <si>
    <t xml:space="preserve">Every benchmarked default is documented here for investor diligence.</t>
  </si>
  <si>
    <t xml:space="preserve">ASSUMPTION</t>
  </si>
  <si>
    <t xml:space="preserve">SOURCE / RATIONALE</t>
  </si>
  <si>
    <t xml:space="preserve">Pricing</t>
  </si>
  <si>
    <t xml:space="preserve">From SYSTEMM intake (filled by Mitchell).</t>
  </si>
  <si>
    <t xml:space="preserve">Tier mix 50/50 (base) / 60/40 (upside)</t>
  </si>
  <si>
    <t xml:space="preserve">Base = pricing intake; upside assumes premium positioning attracts skew.</t>
  </si>
  <si>
    <t xml:space="preserve">Annual prepay 60% (base) / 75% (upside)</t>
  </si>
  <si>
    <t xml:space="preserve">Standard for concierge-medical at this price point; investor can flex.</t>
  </si>
  <si>
    <t xml:space="preserve">Member ramp 20→100→250→500</t>
  </si>
  <si>
    <t xml:space="preserve">From intake. Capacity ~250 per location. NYC Midtown M1, Miami/PB M16 (base) / M14 (upside), NYC #2 M27 (base) / M24 (upside).</t>
  </si>
  <si>
    <t xml:space="preserve">Annual churn 15% (base) / 11% (upside)</t>
  </si>
  <si>
    <t xml:space="preserve">Concierge longevity benchmark range 10–20%; club retention upside.</t>
  </si>
  <si>
    <t xml:space="preserve">CAC $1,000 (base) / $750 (upside)</t>
  </si>
  <si>
    <t xml:space="preserve">From intake; 40–50% referral mix lowers blended.</t>
  </si>
  <si>
    <t xml:space="preserve">Rx revenue $500/mo, 75% take, 60% margin</t>
  </si>
  <si>
    <t xml:space="preserve">From intake; margin standard 503A compounded.</t>
  </si>
  <si>
    <t xml:space="preserve">IV $300/mo, 50% take, 70% margin</t>
  </si>
  <si>
    <t xml:space="preserve">From intake; revised down from $500.</t>
  </si>
  <si>
    <t xml:space="preserve">Supplement $100/mo/mem, 85% take, 55% GM</t>
  </si>
  <si>
    <t xml:space="preserve">Tier 1 includes; Tier 2 retail ~70% take; weighted avg ~85%.</t>
  </si>
  <si>
    <t xml:space="preserve">Compound wholesale $110/mo/mem</t>
  </si>
  <si>
    <t xml:space="preserve">Default benchmark — concierge mix of GHRH/GHRP + recovery.</t>
  </si>
  <si>
    <t xml:space="preserve">Lab cost $120/panel × 4/yr included</t>
  </si>
  <si>
    <t xml:space="preserve">Quest/LabCorp comprehensive panel with hormones.</t>
  </si>
  <si>
    <t xml:space="preserve">Physician $250/visit × 4 visits/yr</t>
  </si>
  <si>
    <t xml:space="preserve">Per-visit comp, 500 mems/FTE capacity.</t>
  </si>
  <si>
    <t xml:space="preserve">Coach $100/session × 10 sessions/mo blended</t>
  </si>
  <si>
    <t xml:space="preserve">T1 12, T2 8 included → 10 blended; per-session model.</t>
  </si>
  <si>
    <t xml:space="preserve">Marketing Y1 $20k/mo flat / Y2+ 5% rev</t>
  </si>
  <si>
    <t xml:space="preserve">From intake. Blends with CAC into funnel acquisition cost.</t>
  </si>
  <si>
    <t xml:space="preserve">Real estate NYC clinic $35k+$4k CAM, gym $25k+$3k CAM</t>
  </si>
  <si>
    <t xml:space="preserve">From intake.</t>
  </si>
  <si>
    <t xml:space="preserve">Free rent / TI period 6 mo</t>
  </si>
  <si>
    <t xml:space="preserve">Capex per location $1.425M (clinic+gym, net of $300k landlord)</t>
  </si>
  <si>
    <t xml:space="preserve">From intake; same buildout kit at all 3 locations. NYC #2 (Y3) funded from cash flow.</t>
  </si>
  <si>
    <t xml:space="preserve">Y0 one-time $300k tech+brand+inventory</t>
  </si>
  <si>
    <t xml:space="preserve">Working capital reserve 6 months OpEx</t>
  </si>
  <si>
    <t xml:space="preserve">MSA fee 85% of PC revenue, IP royalty 5%, training keeps 65% post-coach</t>
  </si>
  <si>
    <t xml:space="preserve">From intake; FMV defensible.</t>
  </si>
  <si>
    <t xml:space="preserve">Friendly PC consolidated for investor financials</t>
  </si>
  <si>
    <t xml:space="preserve">Per Mitchell's open-question answer.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</si>
</sst>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\(#,##0\);\-"/>
    <numFmt numFmtId="166" formatCode="\$#,##0;&quot;($&quot;#,##0\);\-"/>
    <numFmt numFmtId="167" formatCode="0.0%;\(0.0%\);\-"/>
    <numFmt numFmtId="168" formatCode="0.0"/>
    <numFmt numFmtId="169" formatCode="0.0\x"/>
    <numFmt numFmtId="170" formatCode="0.0&quot; mo&quot;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B1E2B"/>
      <name val="Arial"/>
      <family val="0"/>
      <charset val="1"/>
    </font>
    <font>
      <i val="true"/>
      <sz val="11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11111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111111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8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540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0B1E2B"/>
        <bgColor rgb="FF11111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ADE"/>
      </left>
      <right style="thin">
        <color rgb="FFD6DADE"/>
      </right>
      <top style="thin">
        <color rgb="FFD6DADE"/>
      </top>
      <bottom style="thin">
        <color rgb="FFD6DAD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12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2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A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B1E2B"/>
      <rgbColor rgb="FF111111"/>
      <rgbColor rgb="FF993300"/>
      <rgbColor rgb="FF993366"/>
      <rgbColor rgb="FF333399"/>
      <rgbColor rgb="FF1F35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8" min="3" style="0" width="18"/>
  </cols>
  <sheetData>
    <row r="2" customFormat="false" ht="36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27.75" hidden="false" customHeight="true" outlineLevel="0" collapsed="false">
      <c r="B5" s="3" t="s">
        <v>2</v>
      </c>
      <c r="C5" s="4" t="s">
        <v>3</v>
      </c>
    </row>
    <row r="8" customFormat="false" ht="21.75" hidden="false" customHeight="true" outlineLevel="0" collapsed="false">
      <c r="B8" s="5" t="s">
        <v>4</v>
      </c>
      <c r="C8" s="6"/>
      <c r="D8" s="6"/>
      <c r="E8" s="6"/>
      <c r="F8" s="6"/>
      <c r="G8" s="6"/>
      <c r="H8" s="6"/>
    </row>
    <row r="9" customFormat="false" ht="15" hidden="false" customHeight="false" outlineLevel="0" collapsed="false">
      <c r="C9" s="7" t="s">
        <v>5</v>
      </c>
      <c r="D9" s="7" t="s">
        <v>6</v>
      </c>
      <c r="E9" s="7" t="s">
        <v>7</v>
      </c>
      <c r="F9" s="7" t="s">
        <v>8</v>
      </c>
    </row>
    <row r="10" customFormat="false" ht="15" hidden="false" customHeight="false" outlineLevel="0" collapsed="false">
      <c r="B10" s="8" t="s">
        <v>9</v>
      </c>
      <c r="C10" s="9" t="n">
        <f aca="false">Summary!C7</f>
        <v>100</v>
      </c>
      <c r="D10" s="9" t="n">
        <f aca="false">Summary!D7</f>
        <v>250</v>
      </c>
      <c r="E10" s="9" t="n">
        <f aca="false">Summary!E7</f>
        <v>500</v>
      </c>
      <c r="F10" s="9" t="n">
        <f aca="false">Summary!F7</f>
        <v>500</v>
      </c>
    </row>
    <row r="11" customFormat="false" ht="15" hidden="false" customHeight="false" outlineLevel="0" collapsed="false">
      <c r="B11" s="10" t="s">
        <v>10</v>
      </c>
      <c r="C11" s="11" t="n">
        <f aca="false">Summary!C13</f>
        <v>3749386.61984035</v>
      </c>
      <c r="D11" s="11" t="n">
        <f aca="false">Summary!D13</f>
        <v>11394245.4436246</v>
      </c>
      <c r="E11" s="11" t="n">
        <f aca="false">Summary!E13</f>
        <v>24187668.8077671</v>
      </c>
      <c r="F11" s="11" t="n">
        <f aca="false">Summary!F13</f>
        <v>31196400.9434737</v>
      </c>
    </row>
    <row r="12" customFormat="false" ht="15" hidden="false" customHeight="false" outlineLevel="0" collapsed="false">
      <c r="B12" s="10" t="s">
        <v>11</v>
      </c>
      <c r="C12" s="12" t="n">
        <f aca="false">Summary!C15</f>
        <v>2682923.35457848</v>
      </c>
      <c r="D12" s="12" t="n">
        <f aca="false">Summary!D15</f>
        <v>8076243.08031589</v>
      </c>
      <c r="E12" s="12" t="n">
        <f aca="false">Summary!E15</f>
        <v>17071663.743534</v>
      </c>
      <c r="F12" s="12" t="n">
        <f aca="false">Summary!F15</f>
        <v>21917519.3318361</v>
      </c>
    </row>
    <row r="13" customFormat="false" ht="15" hidden="false" customHeight="false" outlineLevel="0" collapsed="false">
      <c r="B13" s="8" t="s">
        <v>12</v>
      </c>
      <c r="C13" s="13" t="n">
        <f aca="false">Summary!C16</f>
        <v>0.715563271171196</v>
      </c>
      <c r="D13" s="13" t="n">
        <f aca="false">Summary!D16</f>
        <v>0.708800167617484</v>
      </c>
      <c r="E13" s="13" t="n">
        <f aca="false">Summary!E16</f>
        <v>0.705800293497158</v>
      </c>
      <c r="F13" s="13" t="n">
        <f aca="false">Summary!F16</f>
        <v>0.702565637989766</v>
      </c>
    </row>
    <row r="14" customFormat="false" ht="15" hidden="false" customHeight="false" outlineLevel="0" collapsed="false">
      <c r="B14" s="8" t="s">
        <v>13</v>
      </c>
      <c r="C14" s="12" t="n">
        <f aca="false">Summary!C22</f>
        <v>2527174.38112365</v>
      </c>
      <c r="D14" s="12" t="n">
        <f aca="false">Summary!D22</f>
        <v>4036967.9125629</v>
      </c>
      <c r="E14" s="12" t="n">
        <f aca="false">Summary!E22</f>
        <v>6522311.52650278</v>
      </c>
      <c r="F14" s="12" t="n">
        <f aca="false">Summary!F22</f>
        <v>7733340.62719344</v>
      </c>
    </row>
    <row r="15" customFormat="false" ht="15" hidden="false" customHeight="false" outlineLevel="0" collapsed="false">
      <c r="B15" s="8" t="s">
        <v>14</v>
      </c>
      <c r="C15" s="12" t="n">
        <f aca="false">Summary!C21</f>
        <v>178794.381123649</v>
      </c>
      <c r="D15" s="12" t="n">
        <f aca="false">Summary!D21</f>
        <v>394477.307048338</v>
      </c>
      <c r="E15" s="12" t="n">
        <f aca="false">Summary!E21</f>
        <v>677047.252781089</v>
      </c>
      <c r="F15" s="12" t="n">
        <f aca="false">Summary!F21</f>
        <v>734200.580019756</v>
      </c>
    </row>
    <row r="16" customFormat="false" ht="15" hidden="false" customHeight="false" outlineLevel="0" collapsed="false">
      <c r="B16" s="10" t="s">
        <v>15</v>
      </c>
      <c r="C16" s="11" t="n">
        <f aca="false">Summary!C23</f>
        <v>155748.973454828</v>
      </c>
      <c r="D16" s="11" t="n">
        <f aca="false">Summary!D23</f>
        <v>4039275.16775298</v>
      </c>
      <c r="E16" s="11" t="n">
        <f aca="false">Summary!E23</f>
        <v>10549352.2170313</v>
      </c>
      <c r="F16" s="11" t="n">
        <f aca="false">Summary!F23</f>
        <v>14184178.7046427</v>
      </c>
    </row>
    <row r="17" customFormat="false" ht="15" hidden="false" customHeight="false" outlineLevel="0" collapsed="false">
      <c r="B17" s="8" t="s">
        <v>16</v>
      </c>
      <c r="C17" s="13" t="n">
        <f aca="false">Summary!C24</f>
        <v>0.0415398541805911</v>
      </c>
      <c r="D17" s="13" t="n">
        <f aca="false">Summary!D24</f>
        <v>0.354501330319601</v>
      </c>
      <c r="E17" s="13" t="n">
        <f aca="false">Summary!E24</f>
        <v>0.436145884949595</v>
      </c>
      <c r="F17" s="13" t="n">
        <f aca="false">Summary!F24</f>
        <v>0.454673560913123</v>
      </c>
    </row>
    <row r="20" customFormat="false" ht="21.75" hidden="false" customHeight="true" outlineLevel="0" collapsed="false">
      <c r="B20" s="5" t="s">
        <v>17</v>
      </c>
      <c r="C20" s="6"/>
      <c r="D20" s="6"/>
      <c r="E20" s="6"/>
      <c r="F20" s="6"/>
      <c r="G20" s="6"/>
      <c r="H20" s="6"/>
    </row>
    <row r="21" customFormat="false" ht="15" hidden="false" customHeight="false" outlineLevel="0" collapsed="false">
      <c r="B21" s="8" t="s">
        <v>18</v>
      </c>
      <c r="C21" s="14" t="n">
        <f aca="false">Use_of_Funds!C6+Use_of_Funds!C7+Use_of_Funds!C8</f>
        <v>1725000</v>
      </c>
    </row>
    <row r="22" customFormat="false" ht="15" hidden="false" customHeight="false" outlineLevel="0" collapsed="false">
      <c r="B22" s="8" t="s">
        <v>19</v>
      </c>
      <c r="C22" s="14" t="n">
        <f aca="false">AVERAGE(PL_Monthly!C21:PL21)*Drivers!$E$129</f>
        <v>2181075.63669822</v>
      </c>
    </row>
    <row r="23" customFormat="false" ht="15" hidden="false" customHeight="false" outlineLevel="0" collapsed="false">
      <c r="B23" s="8" t="s">
        <v>20</v>
      </c>
      <c r="C23" s="14" t="n">
        <f aca="false">Use_of_Funds!C9</f>
        <v>50000</v>
      </c>
    </row>
    <row r="24" customFormat="false" ht="15" hidden="false" customHeight="false" outlineLevel="0" collapsed="false">
      <c r="B24" s="8" t="s">
        <v>21</v>
      </c>
      <c r="C24" s="14" t="n">
        <f aca="false">Use_of_Funds!C11</f>
        <v>2204518.23710679</v>
      </c>
    </row>
    <row r="25" customFormat="false" ht="15" hidden="false" customHeight="false" outlineLevel="0" collapsed="false">
      <c r="B25" s="8" t="s">
        <v>22</v>
      </c>
      <c r="C25" s="14" t="n">
        <f aca="false">Use_of_Funds!C10</f>
        <v>1425000</v>
      </c>
    </row>
    <row r="26" customFormat="false" ht="15" hidden="false" customHeight="false" outlineLevel="0" collapsed="false">
      <c r="B26" s="8" t="s">
        <v>23</v>
      </c>
      <c r="C26" s="14" t="n">
        <f aca="false">Use_of_Funds!C13</f>
        <v>480000</v>
      </c>
    </row>
    <row r="27" customFormat="false" ht="15" hidden="false" customHeight="false" outlineLevel="0" collapsed="false">
      <c r="B27" s="10" t="s">
        <v>24</v>
      </c>
      <c r="C27" s="15" t="n">
        <f aca="false">Use_of_Funds!C14</f>
        <v>3680000</v>
      </c>
    </row>
    <row r="32" customFormat="false" ht="64.15" hidden="false" customHeight="false" outlineLevel="0" collapsed="false">
      <c r="B32" s="16" t="s">
        <v>25</v>
      </c>
    </row>
  </sheetData>
  <dataValidations count="1">
    <dataValidation allowBlank="false" errorStyle="stop" operator="between" showDropDown="false" showErrorMessage="false" showInputMessage="false" sqref="C5" type="list">
      <formula1>"Base,Upside"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5" min="3" style="0" width="16"/>
    <col collapsed="false" customWidth="true" hidden="false" outlineLevel="0" max="6" min="6" style="0" width="18"/>
  </cols>
  <sheetData>
    <row r="2" customFormat="false" ht="22.05" hidden="false" customHeight="false" outlineLevel="0" collapsed="false">
      <c r="B2" s="1" t="s">
        <v>348</v>
      </c>
    </row>
    <row r="3" customFormat="false" ht="22.35" hidden="false" customHeight="false" outlineLevel="0" collapsed="false">
      <c r="B3" s="16" t="s">
        <v>349</v>
      </c>
    </row>
    <row r="5" customFormat="false" ht="15" hidden="false" customHeight="false" outlineLevel="0" collapsed="false">
      <c r="C5" s="28" t="s">
        <v>350</v>
      </c>
      <c r="D5" s="28" t="s">
        <v>351</v>
      </c>
      <c r="E5" s="28" t="s">
        <v>352</v>
      </c>
      <c r="F5" s="28" t="s">
        <v>353</v>
      </c>
    </row>
    <row r="7" customFormat="false" ht="15" hidden="false" customHeight="false" outlineLevel="0" collapsed="false">
      <c r="B7" s="8" t="s">
        <v>259</v>
      </c>
      <c r="C7" s="9" t="n">
        <f aca="false">Member_Build!N7</f>
        <v>100</v>
      </c>
      <c r="D7" s="9" t="n">
        <f aca="false">Member_Build!Z7</f>
        <v>250</v>
      </c>
      <c r="E7" s="9" t="n">
        <f aca="false">Member_Build!AL7</f>
        <v>500</v>
      </c>
      <c r="F7" s="9" t="n">
        <f aca="false">Member_Build!AL7</f>
        <v>500</v>
      </c>
    </row>
    <row r="8" customFormat="false" ht="15" hidden="false" customHeight="false" outlineLevel="0" collapsed="false">
      <c r="B8" s="8" t="s">
        <v>260</v>
      </c>
      <c r="C8" s="9" t="n">
        <f aca="false">AVERAGE(Member_Build!C8:N8)</f>
        <v>56.6666666666667</v>
      </c>
      <c r="D8" s="9" t="n">
        <f aca="false">AVERAGE(Member_Build!O8:Z8)</f>
        <v>175</v>
      </c>
      <c r="E8" s="9" t="n">
        <f aca="false">AVERAGE(Member_Build!AA8:AL8)</f>
        <v>375</v>
      </c>
      <c r="F8" s="9" t="n">
        <f aca="false">Member_Build!AL8</f>
        <v>489.583333333333</v>
      </c>
    </row>
    <row r="9" customFormat="false" ht="15" hidden="false" customHeight="false" outlineLevel="0" collapsed="false">
      <c r="B9" s="8" t="s">
        <v>335</v>
      </c>
      <c r="C9" s="12" t="n">
        <f aca="false">SUM(PL_Monthly!C7:N7)</f>
        <v>2522800</v>
      </c>
      <c r="D9" s="12" t="n">
        <f aca="false">SUM(PL_Monthly!O7:Z7)</f>
        <v>7791000</v>
      </c>
      <c r="E9" s="12" t="n">
        <f aca="false">SUM(PL_Monthly!AA7:AL7)</f>
        <v>16695000</v>
      </c>
      <c r="F9" s="12" t="n">
        <f aca="false">PL_Monthly!AL7*12</f>
        <v>21796250</v>
      </c>
    </row>
    <row r="10" customFormat="false" ht="15" hidden="false" customHeight="false" outlineLevel="0" collapsed="false">
      <c r="B10" s="8" t="s">
        <v>336</v>
      </c>
      <c r="C10" s="12" t="n">
        <f aca="false">SUM(PL_Monthly!C8:N8)</f>
        <v>445736.619840354</v>
      </c>
      <c r="D10" s="12" t="n">
        <f aca="false">SUM(PL_Monthly!O8:Z8)</f>
        <v>891245.443624624</v>
      </c>
      <c r="E10" s="12" t="n">
        <f aca="false">SUM(PL_Monthly!AA8:AL8)</f>
        <v>1552668.80776705</v>
      </c>
      <c r="F10" s="12" t="n">
        <f aca="false">PL_Monthly!AL8*12</f>
        <v>1645150.94347365</v>
      </c>
    </row>
    <row r="11" customFormat="false" ht="15" hidden="false" customHeight="false" outlineLevel="0" collapsed="false">
      <c r="B11" s="8" t="s">
        <v>337</v>
      </c>
      <c r="C11" s="12" t="n">
        <f aca="false">SUM(PL_Monthly!C9:N9)</f>
        <v>489600</v>
      </c>
      <c r="D11" s="12" t="n">
        <f aca="false">SUM(PL_Monthly!O9:Z9)</f>
        <v>1512000</v>
      </c>
      <c r="E11" s="12" t="n">
        <f aca="false">SUM(PL_Monthly!AA9:AL9)</f>
        <v>3240000</v>
      </c>
      <c r="F11" s="12" t="n">
        <f aca="false">PL_Monthly!AL9*12</f>
        <v>4230000</v>
      </c>
    </row>
    <row r="12" customFormat="false" ht="15" hidden="false" customHeight="false" outlineLevel="0" collapsed="false">
      <c r="B12" s="8" t="s">
        <v>283</v>
      </c>
      <c r="C12" s="12" t="n">
        <f aca="false">SUM(PL_Monthly!C10:N10)</f>
        <v>291250</v>
      </c>
      <c r="D12" s="12" t="n">
        <f aca="false">SUM(PL_Monthly!O10:Z10)</f>
        <v>1200000</v>
      </c>
      <c r="E12" s="12" t="n">
        <f aca="false">SUM(PL_Monthly!AA10:AL10)</f>
        <v>2700000</v>
      </c>
      <c r="F12" s="12" t="n">
        <f aca="false">PL_Monthly!AL10*12</f>
        <v>3525000</v>
      </c>
    </row>
    <row r="13" customFormat="false" ht="15" hidden="false" customHeight="false" outlineLevel="0" collapsed="false">
      <c r="B13" s="10" t="s">
        <v>338</v>
      </c>
      <c r="C13" s="11" t="n">
        <f aca="false">SUM(PL_Monthly!C11:N11)</f>
        <v>3749386.61984035</v>
      </c>
      <c r="D13" s="11" t="n">
        <f aca="false">SUM(PL_Monthly!O11:Z11)</f>
        <v>11394245.4436246</v>
      </c>
      <c r="E13" s="11" t="n">
        <f aca="false">SUM(PL_Monthly!AA11:AL11)</f>
        <v>24187668.8077671</v>
      </c>
      <c r="F13" s="11" t="n">
        <f aca="false">PL_Monthly!AL11*12</f>
        <v>31196400.9434737</v>
      </c>
    </row>
    <row r="14" customFormat="false" ht="15" hidden="false" customHeight="false" outlineLevel="0" collapsed="false">
      <c r="B14" s="8" t="s">
        <v>339</v>
      </c>
      <c r="C14" s="12" t="n">
        <f aca="false">SUM(PL_Monthly!C12:N12)</f>
        <v>1066463.26526188</v>
      </c>
      <c r="D14" s="12" t="n">
        <f aca="false">SUM(PL_Monthly!O12:Z12)</f>
        <v>3318002.36330874</v>
      </c>
      <c r="E14" s="12" t="n">
        <f aca="false">SUM(PL_Monthly!AA12:AL12)</f>
        <v>7116005.06423301</v>
      </c>
      <c r="F14" s="12" t="n">
        <f aca="false">PL_Monthly!AL12*12</f>
        <v>9278881.61163754</v>
      </c>
    </row>
    <row r="15" customFormat="false" ht="15" hidden="false" customHeight="false" outlineLevel="0" collapsed="false">
      <c r="B15" s="10" t="s">
        <v>11</v>
      </c>
      <c r="C15" s="11" t="n">
        <f aca="false">SUM(PL_Monthly!C13:N13)</f>
        <v>2682923.35457848</v>
      </c>
      <c r="D15" s="11" t="n">
        <f aca="false">SUM(PL_Monthly!O13:Z13)</f>
        <v>8076243.08031589</v>
      </c>
      <c r="E15" s="11" t="n">
        <f aca="false">SUM(PL_Monthly!AA13:AL13)</f>
        <v>17071663.743534</v>
      </c>
      <c r="F15" s="11" t="n">
        <f aca="false">PL_Monthly!AL13*12</f>
        <v>21917519.3318361</v>
      </c>
    </row>
    <row r="16" customFormat="false" ht="15" hidden="false" customHeight="false" outlineLevel="0" collapsed="false">
      <c r="B16" s="8" t="s">
        <v>12</v>
      </c>
      <c r="C16" s="13" t="n">
        <f aca="false">IFERROR(SUM(PL_Monthly!C13:N13)/SUM(PL_Monthly!C11:N11),0)</f>
        <v>0.715563271171196</v>
      </c>
      <c r="D16" s="13" t="n">
        <f aca="false">IFERROR(SUM(PL_Monthly!O13:Z13)/SUM(PL_Monthly!O11:Z11),0)</f>
        <v>0.708800167617484</v>
      </c>
      <c r="E16" s="13" t="n">
        <f aca="false">IFERROR(SUM(PL_Monthly!AA13:AL13)/SUM(PL_Monthly!AA11:AL11),0)</f>
        <v>0.705800293497158</v>
      </c>
      <c r="F16" s="13" t="n">
        <f aca="false">IFERROR(PL_Monthly!AL13/PL_Monthly!AL11,0)</f>
        <v>0.702565637989766</v>
      </c>
    </row>
    <row r="17" customFormat="false" ht="15" hidden="false" customHeight="false" outlineLevel="0" collapsed="false">
      <c r="B17" s="8" t="s">
        <v>340</v>
      </c>
      <c r="C17" s="12" t="n">
        <f aca="false">SUM(PL_Monthly!C16:N16)</f>
        <v>1462780</v>
      </c>
      <c r="D17" s="12" t="n">
        <f aca="false">SUM(PL_Monthly!O16:Z16)</f>
        <v>1762798.33333333</v>
      </c>
      <c r="E17" s="12" t="n">
        <f aca="false">SUM(PL_Monthly!AA16:AL16)</f>
        <v>2366240.83333333</v>
      </c>
      <c r="F17" s="12" t="n">
        <f aca="false">PL_Monthly!AL16*12</f>
        <v>2662040</v>
      </c>
    </row>
    <row r="18" customFormat="false" ht="15" hidden="false" customHeight="false" outlineLevel="0" collapsed="false">
      <c r="B18" s="8" t="s">
        <v>354</v>
      </c>
      <c r="C18" s="12" t="n">
        <f aca="false">SUM(PL_Monthly!C17:N17)</f>
        <v>444000</v>
      </c>
      <c r="D18" s="12" t="n">
        <f aca="false">SUM(PL_Monthly!O17:Z17)</f>
        <v>1047000</v>
      </c>
      <c r="E18" s="12" t="n">
        <f aca="false">SUM(PL_Monthly!AA17:AL17)</f>
        <v>1918000</v>
      </c>
      <c r="F18" s="12" t="n">
        <f aca="false">PL_Monthly!AL17*12</f>
        <v>2412000</v>
      </c>
    </row>
    <row r="19" customFormat="false" ht="15" hidden="false" customHeight="false" outlineLevel="0" collapsed="false">
      <c r="B19" s="8" t="s">
        <v>355</v>
      </c>
      <c r="C19" s="12" t="n">
        <f aca="false">SUM(PL_Monthly!C18:N18)</f>
        <v>201600</v>
      </c>
      <c r="D19" s="12" t="n">
        <f aca="false">SUM(PL_Monthly!O18:Z18)</f>
        <v>262980</v>
      </c>
      <c r="E19" s="12" t="n">
        <f aca="false">SUM(PL_Monthly!AA18:AL18)</f>
        <v>351640</v>
      </c>
      <c r="F19" s="12" t="n">
        <f aca="false">PL_Monthly!AL18*12</f>
        <v>365280</v>
      </c>
    </row>
    <row r="20" customFormat="false" ht="15" hidden="false" customHeight="false" outlineLevel="0" collapsed="false">
      <c r="B20" s="8" t="s">
        <v>322</v>
      </c>
      <c r="C20" s="12" t="n">
        <f aca="false">SUM(PL_Monthly!C19:N19)</f>
        <v>240000</v>
      </c>
      <c r="D20" s="12" t="n">
        <f aca="false">SUM(PL_Monthly!O19:Z19)</f>
        <v>569712.272181231</v>
      </c>
      <c r="E20" s="12" t="n">
        <f aca="false">SUM(PL_Monthly!AA19:AL19)</f>
        <v>1209383.44038835</v>
      </c>
      <c r="F20" s="12" t="n">
        <f aca="false">PL_Monthly!AL19*12</f>
        <v>1559820.04717368</v>
      </c>
    </row>
    <row r="21" customFormat="false" ht="15" hidden="false" customHeight="false" outlineLevel="0" collapsed="false">
      <c r="B21" s="8" t="s">
        <v>356</v>
      </c>
      <c r="C21" s="12" t="n">
        <f aca="false">SUM(PL_Monthly!C20:N20)</f>
        <v>178794.381123649</v>
      </c>
      <c r="D21" s="12" t="n">
        <f aca="false">SUM(PL_Monthly!O20:Z20)</f>
        <v>394477.307048338</v>
      </c>
      <c r="E21" s="12" t="n">
        <f aca="false">SUM(PL_Monthly!AA20:AL20)</f>
        <v>677047.252781089</v>
      </c>
      <c r="F21" s="12" t="n">
        <f aca="false">PL_Monthly!AL20*12</f>
        <v>734200.580019756</v>
      </c>
    </row>
    <row r="22" customFormat="false" ht="15" hidden="false" customHeight="false" outlineLevel="0" collapsed="false">
      <c r="B22" s="10" t="s">
        <v>344</v>
      </c>
      <c r="C22" s="11" t="n">
        <f aca="false">SUM(PL_Monthly!C21:N21)</f>
        <v>2527174.38112365</v>
      </c>
      <c r="D22" s="11" t="n">
        <f aca="false">SUM(PL_Monthly!O21:Z21)</f>
        <v>4036967.9125629</v>
      </c>
      <c r="E22" s="11" t="n">
        <f aca="false">SUM(PL_Monthly!AA21:AL21)</f>
        <v>6522311.52650278</v>
      </c>
      <c r="F22" s="11" t="n">
        <f aca="false">PL_Monthly!AL21*12</f>
        <v>7733340.62719344</v>
      </c>
    </row>
    <row r="23" customFormat="false" ht="15" hidden="false" customHeight="false" outlineLevel="0" collapsed="false">
      <c r="B23" s="10" t="s">
        <v>15</v>
      </c>
      <c r="C23" s="11" t="n">
        <f aca="false">SUM(PL_Monthly!C23:N23)</f>
        <v>155748.973454828</v>
      </c>
      <c r="D23" s="11" t="n">
        <f aca="false">SUM(PL_Monthly!O23:Z23)</f>
        <v>4039275.16775298</v>
      </c>
      <c r="E23" s="11" t="n">
        <f aca="false">SUM(PL_Monthly!AA23:AL23)</f>
        <v>10549352.2170313</v>
      </c>
      <c r="F23" s="11" t="n">
        <f aca="false">PL_Monthly!AL23*12</f>
        <v>14184178.7046427</v>
      </c>
    </row>
    <row r="24" customFormat="false" ht="15" hidden="false" customHeight="false" outlineLevel="0" collapsed="false">
      <c r="B24" s="8" t="s">
        <v>16</v>
      </c>
      <c r="C24" s="13" t="n">
        <f aca="false">IFERROR(SUM(PL_Monthly!C23:N23)/SUM(PL_Monthly!C11:N11),0)</f>
        <v>0.0415398541805911</v>
      </c>
      <c r="D24" s="13" t="n">
        <f aca="false">IFERROR(SUM(PL_Monthly!O23:Z23)/SUM(PL_Monthly!O11:Z11),0)</f>
        <v>0.354501330319601</v>
      </c>
      <c r="E24" s="13" t="n">
        <f aca="false">IFERROR(SUM(PL_Monthly!AA23:AL23)/SUM(PL_Monthly!AA11:AL11),0)</f>
        <v>0.436145884949595</v>
      </c>
      <c r="F24" s="13" t="n">
        <f aca="false">IFERROR(PL_Monthly!AL23/PL_Monthly!AL11,0)</f>
        <v>0.454673560913123</v>
      </c>
    </row>
    <row r="25" customFormat="false" ht="15" hidden="false" customHeight="false" outlineLevel="0" collapsed="false">
      <c r="B25" s="8" t="s">
        <v>357</v>
      </c>
      <c r="C25" s="12" t="n">
        <f aca="false">SUM(PL_Monthly!C26:N26)</f>
        <v>1775000</v>
      </c>
      <c r="D25" s="12" t="n">
        <f aca="false">SUM(PL_Monthly!O26:Z26)</f>
        <v>1425000</v>
      </c>
      <c r="E25" s="12" t="n">
        <f aca="false">SUM(PL_Monthly!AA26:AL26)</f>
        <v>1425000</v>
      </c>
      <c r="F25" s="12" t="n">
        <f aca="false">PL_Monthly!AL26*12</f>
        <v>0</v>
      </c>
    </row>
    <row r="26" customFormat="false" ht="15" hidden="false" customHeight="false" outlineLevel="0" collapsed="false">
      <c r="B26" s="10" t="s">
        <v>358</v>
      </c>
      <c r="C26" s="11" t="n">
        <f aca="false">SUM(PL_Monthly!C27:N27)</f>
        <v>-1619251.02654517</v>
      </c>
      <c r="D26" s="11" t="n">
        <f aca="false">SUM(PL_Monthly!O27:Z27)</f>
        <v>2614275.16775298</v>
      </c>
      <c r="E26" s="11" t="n">
        <f aca="false">SUM(PL_Monthly!AA27:AL27)</f>
        <v>9124352.21703126</v>
      </c>
      <c r="F26" s="11" t="n">
        <f aca="false">PL_Monthly!AL27*12</f>
        <v>14184178.7046427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4" min="3" style="0" width="18"/>
    <col collapsed="false" customWidth="true" hidden="false" outlineLevel="0" max="5" min="5" style="0" width="36"/>
  </cols>
  <sheetData>
    <row r="2" customFormat="false" ht="22.05" hidden="false" customHeight="false" outlineLevel="0" collapsed="false">
      <c r="B2" s="1" t="s">
        <v>359</v>
      </c>
    </row>
    <row r="3" customFormat="false" ht="22.35" hidden="false" customHeight="false" outlineLevel="0" collapsed="false">
      <c r="B3" s="16" t="s">
        <v>360</v>
      </c>
    </row>
    <row r="5" customFormat="false" ht="15" hidden="false" customHeight="false" outlineLevel="0" collapsed="false">
      <c r="B5" s="27" t="s">
        <v>361</v>
      </c>
      <c r="C5" s="28" t="s">
        <v>362</v>
      </c>
      <c r="D5" s="28" t="s">
        <v>363</v>
      </c>
      <c r="E5" s="27" t="s">
        <v>364</v>
      </c>
    </row>
    <row r="6" customFormat="false" ht="15" hidden="false" customHeight="false" outlineLevel="0" collapsed="false">
      <c r="B6" s="8" t="s">
        <v>365</v>
      </c>
      <c r="C6" s="12" t="n">
        <f aca="false">Drivers!$E$11*(Drivers!$E$12*Drivers!$E$8/12 + (1-Drivers!$E$12)*Drivers!$E$7) + (1-Drivers!$E$11)*(Drivers!$E$12*Drivers!$E$10/12 + (1-Drivers!$E$12)*Drivers!$E$9)</f>
        <v>3710</v>
      </c>
      <c r="D6" s="32"/>
      <c r="E6" s="16" t="s">
        <v>366</v>
      </c>
    </row>
    <row r="7" customFormat="false" ht="15" hidden="false" customHeight="false" outlineLevel="0" collapsed="false">
      <c r="B7" s="8" t="s">
        <v>367</v>
      </c>
      <c r="C7" s="12" t="n">
        <f aca="false">Drivers!$E$38*Drivers!$E$37+Drivers!$E$40/12*Drivers!$E$41+Drivers!$E$45*Drivers!$E$43*Drivers!$E$44+Drivers!$E$48*Drivers!$E$47+Drivers!$E$51*Drivers!$E$50</f>
        <v>720</v>
      </c>
      <c r="E7" s="16" t="s">
        <v>368</v>
      </c>
    </row>
    <row r="8" customFormat="false" ht="15" hidden="false" customHeight="false" outlineLevel="0" collapsed="false">
      <c r="B8" s="10" t="s">
        <v>369</v>
      </c>
      <c r="C8" s="30" t="n">
        <f aca="false">C6+C7</f>
        <v>4430</v>
      </c>
      <c r="E8" s="16"/>
    </row>
    <row r="9" customFormat="false" ht="15" hidden="false" customHeight="false" outlineLevel="0" collapsed="false">
      <c r="B9" s="10" t="s">
        <v>370</v>
      </c>
      <c r="C9" s="30" t="n">
        <f aca="false">C8*12</f>
        <v>53160</v>
      </c>
      <c r="E9" s="16" t="s">
        <v>371</v>
      </c>
    </row>
    <row r="11" customFormat="false" ht="15" hidden="false" customHeight="false" outlineLevel="0" collapsed="false">
      <c r="B11" s="8" t="s">
        <v>372</v>
      </c>
      <c r="C11" s="12" t="n">
        <f aca="false">Drivers!$E$38*(Drivers!$E$55+Drivers!$E$57*Drivers!$E$56)+Drivers!$E$59/12*Drivers!$E$58+Drivers!$E$40/12*Drivers!$E$42+Drivers!$E$61/12*Drivers!$E$60+Drivers!$E$63*Drivers!$E$62+Drivers!$E$45*Drivers!$E$43*Drivers!$E$46+Drivers!$E$48*Drivers!$E$47*(1-Drivers!$E$49)+Drivers!$E$51*Drivers!$E$50*(1-Drivers!$E$52)+Drivers!$E$64+Drivers!$E$65+C8*Drivers!$E$66</f>
        <v>1492.98333333333</v>
      </c>
      <c r="E11" s="16" t="s">
        <v>373</v>
      </c>
    </row>
    <row r="12" customFormat="false" ht="15" hidden="false" customHeight="false" outlineLevel="0" collapsed="false">
      <c r="B12" s="10" t="s">
        <v>374</v>
      </c>
      <c r="C12" s="30" t="n">
        <f aca="false">C8-C11</f>
        <v>2937.01666666667</v>
      </c>
      <c r="E12" s="16" t="s">
        <v>375</v>
      </c>
    </row>
    <row r="13" customFormat="false" ht="15" hidden="false" customHeight="false" outlineLevel="0" collapsed="false">
      <c r="B13" s="8" t="s">
        <v>376</v>
      </c>
      <c r="C13" s="24" t="n">
        <f aca="false">IFERROR(C12/C8,0)</f>
        <v>0.662983446200151</v>
      </c>
      <c r="E13" s="16"/>
    </row>
    <row r="15" customFormat="false" ht="15" hidden="false" customHeight="false" outlineLevel="0" collapsed="false">
      <c r="B15" s="8" t="s">
        <v>377</v>
      </c>
      <c r="C15" s="12" t="n">
        <f aca="false">Drivers!$E$23</f>
        <v>1000</v>
      </c>
      <c r="D15" s="32" t="s">
        <v>378</v>
      </c>
      <c r="E15" s="16" t="s">
        <v>379</v>
      </c>
    </row>
    <row r="16" customFormat="false" ht="15" hidden="false" customHeight="false" outlineLevel="0" collapsed="false">
      <c r="B16" s="8" t="s">
        <v>380</v>
      </c>
      <c r="C16" s="33" t="n">
        <f aca="false">12/Drivers!$E$20</f>
        <v>80</v>
      </c>
      <c r="E16" s="16" t="s">
        <v>381</v>
      </c>
    </row>
    <row r="17" customFormat="false" ht="15" hidden="false" customHeight="false" outlineLevel="0" collapsed="false">
      <c r="B17" s="10" t="s">
        <v>382</v>
      </c>
      <c r="C17" s="30" t="n">
        <f aca="false">C12*C16</f>
        <v>234961.333333333</v>
      </c>
      <c r="E17" s="16" t="s">
        <v>383</v>
      </c>
    </row>
    <row r="18" customFormat="false" ht="15" hidden="false" customHeight="false" outlineLevel="0" collapsed="false">
      <c r="B18" s="10" t="s">
        <v>384</v>
      </c>
      <c r="C18" s="34" t="n">
        <f aca="false">IFERROR(C17/C15,0)</f>
        <v>234.961333333333</v>
      </c>
      <c r="D18" s="32" t="s">
        <v>385</v>
      </c>
      <c r="E18" s="16" t="s">
        <v>386</v>
      </c>
    </row>
    <row r="19" customFormat="false" ht="15" hidden="false" customHeight="false" outlineLevel="0" collapsed="false">
      <c r="B19" s="8" t="s">
        <v>387</v>
      </c>
      <c r="C19" s="35" t="n">
        <f aca="false">IFERROR(C15/C12,0)</f>
        <v>0.34048155441179</v>
      </c>
      <c r="D19" s="32" t="s">
        <v>388</v>
      </c>
      <c r="E19" s="16" t="s">
        <v>389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18"/>
    <col collapsed="false" customWidth="true" hidden="false" outlineLevel="0" max="4" min="4" style="0" width="36"/>
  </cols>
  <sheetData>
    <row r="2" customFormat="false" ht="22.05" hidden="false" customHeight="false" outlineLevel="0" collapsed="false">
      <c r="B2" s="1" t="s">
        <v>390</v>
      </c>
    </row>
    <row r="3" customFormat="false" ht="43.25" hidden="false" customHeight="false" outlineLevel="0" collapsed="false">
      <c r="B3" s="16" t="s">
        <v>391</v>
      </c>
    </row>
    <row r="5" customFormat="false" ht="15" hidden="false" customHeight="false" outlineLevel="0" collapsed="false">
      <c r="B5" s="27" t="s">
        <v>392</v>
      </c>
      <c r="C5" s="28" t="s">
        <v>49</v>
      </c>
      <c r="D5" s="27" t="s">
        <v>364</v>
      </c>
    </row>
    <row r="6" customFormat="false" ht="22.35" hidden="false" customHeight="false" outlineLevel="0" collapsed="false">
      <c r="B6" s="8" t="s">
        <v>393</v>
      </c>
      <c r="C6" s="12" t="n">
        <f aca="false">(Drivers!$E$119-Drivers!$E$120)+Drivers!$E$121+Drivers!$E$122+Drivers!$E$123+Drivers!$E$124+Drivers!$E$125</f>
        <v>1425000</v>
      </c>
      <c r="D6" s="16" t="s">
        <v>394</v>
      </c>
    </row>
    <row r="7" customFormat="false" ht="15" hidden="false" customHeight="false" outlineLevel="0" collapsed="false">
      <c r="B7" s="8" t="s">
        <v>395</v>
      </c>
      <c r="C7" s="12" t="n">
        <f aca="false">Drivers!$E$126</f>
        <v>200000</v>
      </c>
      <c r="D7" s="16" t="s">
        <v>396</v>
      </c>
    </row>
    <row r="8" customFormat="false" ht="15" hidden="false" customHeight="false" outlineLevel="0" collapsed="false">
      <c r="B8" s="8" t="s">
        <v>397</v>
      </c>
      <c r="C8" s="12" t="n">
        <f aca="false">Drivers!$E$127</f>
        <v>100000</v>
      </c>
      <c r="D8" s="16" t="s">
        <v>396</v>
      </c>
    </row>
    <row r="9" customFormat="false" ht="15" hidden="false" customHeight="false" outlineLevel="0" collapsed="false">
      <c r="B9" s="8" t="s">
        <v>398</v>
      </c>
      <c r="C9" s="12" t="n">
        <f aca="false">Drivers!$E$128</f>
        <v>50000</v>
      </c>
      <c r="D9" s="16" t="s">
        <v>399</v>
      </c>
    </row>
    <row r="10" customFormat="false" ht="22.35" hidden="false" customHeight="false" outlineLevel="0" collapsed="false">
      <c r="B10" s="8" t="s">
        <v>400</v>
      </c>
      <c r="C10" s="12" t="n">
        <f aca="false">(Drivers!$E$119-Drivers!$E$120)+Drivers!$E$121+Drivers!$E$122+Drivers!$E$123+Drivers!$E$124+Drivers!$E$125</f>
        <v>1425000</v>
      </c>
      <c r="D10" s="16" t="s">
        <v>401</v>
      </c>
    </row>
    <row r="11" customFormat="false" ht="22.35" hidden="false" customHeight="false" outlineLevel="0" collapsed="false">
      <c r="B11" s="8" t="s">
        <v>21</v>
      </c>
      <c r="C11" s="12" t="n">
        <f aca="false">-MIN(PL_Monthly!C28:PL28)</f>
        <v>2204518.23710679</v>
      </c>
      <c r="D11" s="16" t="s">
        <v>402</v>
      </c>
    </row>
    <row r="12" customFormat="false" ht="15" hidden="false" customHeight="false" outlineLevel="0" collapsed="false">
      <c r="B12" s="10" t="s">
        <v>403</v>
      </c>
      <c r="C12" s="30" t="n">
        <f aca="false">MAX(C11,SUM(C6:C10))</f>
        <v>3200000</v>
      </c>
      <c r="D12" s="16" t="s">
        <v>404</v>
      </c>
    </row>
    <row r="13" customFormat="false" ht="15" hidden="false" customHeight="false" outlineLevel="0" collapsed="false">
      <c r="B13" s="8" t="s">
        <v>23</v>
      </c>
      <c r="C13" s="21" t="n">
        <f aca="false">C12*0.15</f>
        <v>480000</v>
      </c>
      <c r="D13" s="16" t="s">
        <v>405</v>
      </c>
    </row>
    <row r="14" customFormat="false" ht="15" hidden="false" customHeight="false" outlineLevel="0" collapsed="false">
      <c r="B14" s="10" t="s">
        <v>406</v>
      </c>
      <c r="C14" s="36" t="n">
        <f aca="false">C12+C13</f>
        <v>3680000</v>
      </c>
      <c r="D14" s="16" t="s">
        <v>407</v>
      </c>
    </row>
    <row r="16" customFormat="false" ht="15" hidden="false" customHeight="false" outlineLevel="0" collapsed="false">
      <c r="B16" s="8" t="s">
        <v>408</v>
      </c>
      <c r="C16" s="35" t="n">
        <f aca="false">IFERROR(C14/AVERAGE(PL_Monthly!C21:PL21),0)</f>
        <v>10.1234453443464</v>
      </c>
      <c r="D16" s="16" t="s">
        <v>409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3" min="3" style="0" width="80"/>
  </cols>
  <sheetData>
    <row r="2" customFormat="false" ht="22.05" hidden="false" customHeight="false" outlineLevel="0" collapsed="false">
      <c r="B2" s="1" t="s">
        <v>410</v>
      </c>
    </row>
    <row r="3" customFormat="false" ht="22.35" hidden="false" customHeight="false" outlineLevel="0" collapsed="false">
      <c r="B3" s="16" t="s">
        <v>411</v>
      </c>
    </row>
    <row r="5" customFormat="false" ht="15" hidden="false" customHeight="false" outlineLevel="0" collapsed="false">
      <c r="B5" s="27" t="s">
        <v>412</v>
      </c>
      <c r="C5" s="27" t="s">
        <v>413</v>
      </c>
    </row>
    <row r="6" customFormat="false" ht="27.75" hidden="false" customHeight="true" outlineLevel="0" collapsed="false">
      <c r="B6" s="8" t="s">
        <v>414</v>
      </c>
      <c r="C6" s="37" t="s">
        <v>415</v>
      </c>
    </row>
    <row r="7" customFormat="false" ht="27.75" hidden="false" customHeight="true" outlineLevel="0" collapsed="false">
      <c r="B7" s="8" t="s">
        <v>416</v>
      </c>
      <c r="C7" s="37" t="s">
        <v>417</v>
      </c>
    </row>
    <row r="8" customFormat="false" ht="27.75" hidden="false" customHeight="true" outlineLevel="0" collapsed="false">
      <c r="B8" s="8" t="s">
        <v>418</v>
      </c>
      <c r="C8" s="37" t="s">
        <v>419</v>
      </c>
    </row>
    <row r="9" customFormat="false" ht="27.75" hidden="false" customHeight="true" outlineLevel="0" collapsed="false">
      <c r="B9" s="8" t="s">
        <v>420</v>
      </c>
      <c r="C9" s="37" t="s">
        <v>421</v>
      </c>
    </row>
    <row r="10" customFormat="false" ht="27.75" hidden="false" customHeight="true" outlineLevel="0" collapsed="false">
      <c r="B10" s="8" t="s">
        <v>422</v>
      </c>
      <c r="C10" s="37" t="s">
        <v>423</v>
      </c>
    </row>
    <row r="11" customFormat="false" ht="27.75" hidden="false" customHeight="true" outlineLevel="0" collapsed="false">
      <c r="B11" s="8" t="s">
        <v>424</v>
      </c>
      <c r="C11" s="37" t="s">
        <v>425</v>
      </c>
    </row>
    <row r="12" customFormat="false" ht="27.75" hidden="false" customHeight="true" outlineLevel="0" collapsed="false">
      <c r="B12" s="8" t="s">
        <v>426</v>
      </c>
      <c r="C12" s="37" t="s">
        <v>427</v>
      </c>
    </row>
    <row r="13" customFormat="false" ht="27.75" hidden="false" customHeight="true" outlineLevel="0" collapsed="false">
      <c r="B13" s="8" t="s">
        <v>428</v>
      </c>
      <c r="C13" s="37" t="s">
        <v>429</v>
      </c>
    </row>
    <row r="14" customFormat="false" ht="27.75" hidden="false" customHeight="true" outlineLevel="0" collapsed="false">
      <c r="B14" s="8" t="s">
        <v>430</v>
      </c>
      <c r="C14" s="37" t="s">
        <v>431</v>
      </c>
    </row>
    <row r="15" customFormat="false" ht="27.75" hidden="false" customHeight="true" outlineLevel="0" collapsed="false">
      <c r="B15" s="8" t="s">
        <v>432</v>
      </c>
      <c r="C15" s="37" t="s">
        <v>433</v>
      </c>
    </row>
    <row r="16" customFormat="false" ht="27.75" hidden="false" customHeight="true" outlineLevel="0" collapsed="false">
      <c r="B16" s="8" t="s">
        <v>434</v>
      </c>
      <c r="C16" s="37" t="s">
        <v>435</v>
      </c>
    </row>
    <row r="17" customFormat="false" ht="27.75" hidden="false" customHeight="true" outlineLevel="0" collapsed="false">
      <c r="B17" s="8" t="s">
        <v>436</v>
      </c>
      <c r="C17" s="37" t="s">
        <v>437</v>
      </c>
    </row>
    <row r="18" customFormat="false" ht="27.75" hidden="false" customHeight="true" outlineLevel="0" collapsed="false">
      <c r="B18" s="8" t="s">
        <v>438</v>
      </c>
      <c r="C18" s="37" t="s">
        <v>439</v>
      </c>
    </row>
    <row r="19" customFormat="false" ht="27.75" hidden="false" customHeight="true" outlineLevel="0" collapsed="false">
      <c r="B19" s="8" t="s">
        <v>440</v>
      </c>
      <c r="C19" s="37" t="s">
        <v>441</v>
      </c>
    </row>
    <row r="20" customFormat="false" ht="27.75" hidden="false" customHeight="true" outlineLevel="0" collapsed="false">
      <c r="B20" s="8" t="s">
        <v>442</v>
      </c>
      <c r="C20" s="37" t="s">
        <v>443</v>
      </c>
    </row>
    <row r="21" customFormat="false" ht="27.75" hidden="false" customHeight="true" outlineLevel="0" collapsed="false">
      <c r="B21" s="8" t="s">
        <v>444</v>
      </c>
      <c r="C21" s="37" t="s">
        <v>443</v>
      </c>
    </row>
    <row r="22" customFormat="false" ht="27.75" hidden="false" customHeight="true" outlineLevel="0" collapsed="false">
      <c r="B22" s="8" t="s">
        <v>445</v>
      </c>
      <c r="C22" s="37" t="s">
        <v>446</v>
      </c>
    </row>
    <row r="23" customFormat="false" ht="27.75" hidden="false" customHeight="true" outlineLevel="0" collapsed="false">
      <c r="B23" s="8" t="s">
        <v>447</v>
      </c>
      <c r="C23" s="37" t="s">
        <v>443</v>
      </c>
    </row>
    <row r="24" customFormat="false" ht="27.75" hidden="false" customHeight="true" outlineLevel="0" collapsed="false">
      <c r="B24" s="8" t="s">
        <v>448</v>
      </c>
      <c r="C24" s="37" t="s">
        <v>443</v>
      </c>
    </row>
    <row r="25" customFormat="false" ht="27.75" hidden="false" customHeight="true" outlineLevel="0" collapsed="false">
      <c r="B25" s="8" t="s">
        <v>449</v>
      </c>
      <c r="C25" s="37" t="s">
        <v>450</v>
      </c>
    </row>
    <row r="26" customFormat="false" ht="27.75" hidden="false" customHeight="true" outlineLevel="0" collapsed="false">
      <c r="B26" s="8" t="s">
        <v>451</v>
      </c>
      <c r="C26" s="37" t="s">
        <v>452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6"/>
    <col collapsed="false" customWidth="true" hidden="false" outlineLevel="0" max="5" min="3" style="0" width="16"/>
    <col collapsed="false" customWidth="true" hidden="false" outlineLevel="0" max="6" min="6" style="0" width="10"/>
    <col collapsed="false" customWidth="true" hidden="false" outlineLevel="0" max="7" min="7" style="0" width="36"/>
  </cols>
  <sheetData>
    <row r="2" customFormat="false" ht="22.05" hidden="false" customHeight="false" outlineLevel="0" collapsed="false">
      <c r="B2" s="1" t="s">
        <v>26</v>
      </c>
    </row>
    <row r="3" customFormat="false" ht="32.8" hidden="false" customHeight="false" outlineLevel="0" collapsed="false">
      <c r="B3" s="16" t="s">
        <v>27</v>
      </c>
    </row>
    <row r="5" customFormat="false" ht="15" hidden="false" customHeight="false" outlineLevel="0" collapsed="false">
      <c r="A5" s="17"/>
      <c r="B5" s="17" t="s">
        <v>28</v>
      </c>
      <c r="C5" s="17" t="s">
        <v>29</v>
      </c>
      <c r="D5" s="17" t="s">
        <v>30</v>
      </c>
      <c r="E5" s="17" t="s">
        <v>31</v>
      </c>
      <c r="F5" s="17" t="s">
        <v>32</v>
      </c>
      <c r="G5" s="17" t="s">
        <v>33</v>
      </c>
    </row>
    <row r="6" customFormat="false" ht="15" hidden="false" customHeight="false" outlineLevel="0" collapsed="false">
      <c r="B6" s="3" t="s">
        <v>34</v>
      </c>
      <c r="C6" s="18"/>
      <c r="D6" s="18"/>
      <c r="E6" s="18"/>
      <c r="F6" s="18"/>
      <c r="G6" s="18"/>
    </row>
    <row r="7" customFormat="false" ht="15" hidden="false" customHeight="false" outlineLevel="0" collapsed="false">
      <c r="B7" s="19" t="s">
        <v>35</v>
      </c>
      <c r="C7" s="20" t="n">
        <v>4500</v>
      </c>
      <c r="D7" s="20" t="n">
        <v>4500</v>
      </c>
      <c r="E7" s="21" t="n">
        <f aca="false">IF(scenario="Upside",D7,C7)</f>
        <v>4500</v>
      </c>
      <c r="F7" s="22" t="s">
        <v>36</v>
      </c>
      <c r="G7" s="16" t="s">
        <v>37</v>
      </c>
    </row>
    <row r="8" customFormat="false" ht="15" hidden="false" customHeight="false" outlineLevel="0" collapsed="false">
      <c r="B8" s="19" t="s">
        <v>38</v>
      </c>
      <c r="C8" s="20" t="n">
        <v>50000</v>
      </c>
      <c r="D8" s="20" t="n">
        <v>50000</v>
      </c>
      <c r="E8" s="21" t="n">
        <f aca="false">IF(scenario="Upside",D8,C8)</f>
        <v>50000</v>
      </c>
      <c r="F8" s="22" t="s">
        <v>39</v>
      </c>
      <c r="G8" s="16" t="s">
        <v>40</v>
      </c>
    </row>
    <row r="9" customFormat="false" ht="15" hidden="false" customHeight="false" outlineLevel="0" collapsed="false">
      <c r="B9" s="19" t="s">
        <v>41</v>
      </c>
      <c r="C9" s="20" t="n">
        <v>3300</v>
      </c>
      <c r="D9" s="20" t="n">
        <v>3300</v>
      </c>
      <c r="E9" s="21" t="n">
        <f aca="false">IF(scenario="Upside",D9,C9)</f>
        <v>3300</v>
      </c>
      <c r="F9" s="22" t="s">
        <v>36</v>
      </c>
      <c r="G9" s="16" t="s">
        <v>37</v>
      </c>
    </row>
    <row r="10" customFormat="false" ht="15" hidden="false" customHeight="false" outlineLevel="0" collapsed="false">
      <c r="B10" s="19" t="s">
        <v>42</v>
      </c>
      <c r="C10" s="20" t="n">
        <v>36000</v>
      </c>
      <c r="D10" s="20" t="n">
        <v>36000</v>
      </c>
      <c r="E10" s="21" t="n">
        <f aca="false">IF(scenario="Upside",D10,C10)</f>
        <v>36000</v>
      </c>
      <c r="F10" s="22" t="s">
        <v>39</v>
      </c>
      <c r="G10" s="16" t="s">
        <v>37</v>
      </c>
    </row>
    <row r="11" customFormat="false" ht="15" hidden="false" customHeight="false" outlineLevel="0" collapsed="false">
      <c r="B11" s="19" t="s">
        <v>43</v>
      </c>
      <c r="C11" s="23" t="n">
        <v>0.5</v>
      </c>
      <c r="D11" s="23" t="n">
        <v>0.6</v>
      </c>
      <c r="E11" s="24" t="n">
        <f aca="false">IF(scenario="Upside",D11,C11)</f>
        <v>0.5</v>
      </c>
      <c r="F11" s="22" t="s">
        <v>44</v>
      </c>
      <c r="G11" s="16" t="s">
        <v>45</v>
      </c>
    </row>
    <row r="12" customFormat="false" ht="15" hidden="false" customHeight="false" outlineLevel="0" collapsed="false">
      <c r="B12" s="19" t="s">
        <v>46</v>
      </c>
      <c r="C12" s="23" t="n">
        <v>0.6</v>
      </c>
      <c r="D12" s="23" t="n">
        <v>0.75</v>
      </c>
      <c r="E12" s="24" t="n">
        <f aca="false">IF(scenario="Upside",D12,C12)</f>
        <v>0.6</v>
      </c>
      <c r="F12" s="22" t="s">
        <v>44</v>
      </c>
      <c r="G12" s="16" t="s">
        <v>47</v>
      </c>
    </row>
    <row r="13" customFormat="false" ht="15" hidden="false" customHeight="false" outlineLevel="0" collapsed="false">
      <c r="B13" s="19" t="s">
        <v>48</v>
      </c>
      <c r="C13" s="20" t="n">
        <v>5000</v>
      </c>
      <c r="D13" s="20" t="n">
        <v>5000</v>
      </c>
      <c r="E13" s="21" t="n">
        <f aca="false">IF(scenario="Upside",D13,C13)</f>
        <v>5000</v>
      </c>
      <c r="F13" s="22" t="s">
        <v>49</v>
      </c>
      <c r="G13" s="16" t="s">
        <v>50</v>
      </c>
    </row>
    <row r="15" customFormat="false" ht="15" hidden="false" customHeight="false" outlineLevel="0" collapsed="false">
      <c r="B15" s="3" t="s">
        <v>51</v>
      </c>
      <c r="C15" s="18"/>
      <c r="D15" s="18"/>
      <c r="E15" s="18"/>
      <c r="F15" s="18"/>
      <c r="G15" s="18"/>
    </row>
    <row r="16" customFormat="false" ht="15" hidden="false" customHeight="false" outlineLevel="0" collapsed="false">
      <c r="B16" s="19" t="s">
        <v>52</v>
      </c>
      <c r="C16" s="25" t="n">
        <v>20</v>
      </c>
      <c r="D16" s="25" t="n">
        <v>25</v>
      </c>
      <c r="E16" s="26" t="n">
        <f aca="false">IF(scenario="Upside",D16,C16)</f>
        <v>20</v>
      </c>
      <c r="F16" s="22" t="s">
        <v>53</v>
      </c>
      <c r="G16" s="16" t="s">
        <v>54</v>
      </c>
    </row>
    <row r="17" customFormat="false" ht="15" hidden="false" customHeight="false" outlineLevel="0" collapsed="false">
      <c r="B17" s="19" t="s">
        <v>55</v>
      </c>
      <c r="C17" s="25" t="n">
        <v>100</v>
      </c>
      <c r="D17" s="25" t="n">
        <v>130</v>
      </c>
      <c r="E17" s="26" t="n">
        <f aca="false">IF(scenario="Upside",D17,C17)</f>
        <v>100</v>
      </c>
      <c r="F17" s="22" t="s">
        <v>53</v>
      </c>
      <c r="G17" s="16" t="s">
        <v>56</v>
      </c>
    </row>
    <row r="18" customFormat="false" ht="15" hidden="false" customHeight="false" outlineLevel="0" collapsed="false">
      <c r="B18" s="19" t="s">
        <v>57</v>
      </c>
      <c r="C18" s="25" t="n">
        <v>250</v>
      </c>
      <c r="D18" s="25" t="n">
        <v>320</v>
      </c>
      <c r="E18" s="26" t="n">
        <f aca="false">IF(scenario="Upside",D18,C18)</f>
        <v>250</v>
      </c>
      <c r="F18" s="22" t="s">
        <v>53</v>
      </c>
      <c r="G18" s="16" t="s">
        <v>58</v>
      </c>
    </row>
    <row r="19" customFormat="false" ht="15" hidden="false" customHeight="false" outlineLevel="0" collapsed="false">
      <c r="B19" s="19" t="s">
        <v>59</v>
      </c>
      <c r="C19" s="25" t="n">
        <v>500</v>
      </c>
      <c r="D19" s="25" t="n">
        <v>650</v>
      </c>
      <c r="E19" s="26" t="n">
        <f aca="false">IF(scenario="Upside",D19,C19)</f>
        <v>500</v>
      </c>
      <c r="F19" s="22" t="s">
        <v>53</v>
      </c>
      <c r="G19" s="16" t="s">
        <v>60</v>
      </c>
    </row>
    <row r="20" customFormat="false" ht="15" hidden="false" customHeight="false" outlineLevel="0" collapsed="false">
      <c r="B20" s="19" t="s">
        <v>61</v>
      </c>
      <c r="C20" s="23" t="n">
        <v>0.15</v>
      </c>
      <c r="D20" s="23" t="n">
        <v>0.11</v>
      </c>
      <c r="E20" s="24" t="n">
        <f aca="false">IF(scenario="Upside",D20,C20)</f>
        <v>0.15</v>
      </c>
      <c r="F20" s="22" t="s">
        <v>62</v>
      </c>
      <c r="G20" s="16" t="s">
        <v>63</v>
      </c>
    </row>
    <row r="22" customFormat="false" ht="15" hidden="false" customHeight="false" outlineLevel="0" collapsed="false">
      <c r="B22" s="3" t="s">
        <v>64</v>
      </c>
      <c r="C22" s="18"/>
      <c r="D22" s="18"/>
      <c r="E22" s="18"/>
      <c r="F22" s="18"/>
      <c r="G22" s="18"/>
    </row>
    <row r="23" customFormat="false" ht="15" hidden="false" customHeight="false" outlineLevel="0" collapsed="false">
      <c r="B23" s="19" t="s">
        <v>65</v>
      </c>
      <c r="C23" s="20" t="n">
        <v>1000</v>
      </c>
      <c r="D23" s="20" t="n">
        <v>750</v>
      </c>
      <c r="E23" s="21" t="n">
        <f aca="false">IF(scenario="Upside",D23,C23)</f>
        <v>1000</v>
      </c>
      <c r="F23" s="22" t="s">
        <v>66</v>
      </c>
      <c r="G23" s="16" t="s">
        <v>67</v>
      </c>
    </row>
    <row r="24" customFormat="false" ht="15" hidden="false" customHeight="false" outlineLevel="0" collapsed="false">
      <c r="B24" s="19" t="s">
        <v>68</v>
      </c>
      <c r="C24" s="23" t="n">
        <v>0.4</v>
      </c>
      <c r="D24" s="23" t="n">
        <v>0.5</v>
      </c>
      <c r="E24" s="24" t="n">
        <f aca="false">IF(scenario="Upside",D24,C24)</f>
        <v>0.4</v>
      </c>
      <c r="F24" s="22" t="s">
        <v>44</v>
      </c>
      <c r="G24" s="16" t="s">
        <v>37</v>
      </c>
    </row>
    <row r="26" customFormat="false" ht="15" hidden="false" customHeight="false" outlineLevel="0" collapsed="false">
      <c r="B26" s="3" t="s">
        <v>69</v>
      </c>
      <c r="C26" s="18"/>
      <c r="D26" s="18"/>
      <c r="E26" s="18"/>
      <c r="F26" s="18"/>
      <c r="G26" s="18"/>
    </row>
    <row r="27" customFormat="false" ht="15" hidden="false" customHeight="false" outlineLevel="0" collapsed="false">
      <c r="B27" s="19" t="s">
        <v>70</v>
      </c>
      <c r="C27" s="20" t="n">
        <v>50</v>
      </c>
      <c r="D27" s="20" t="n">
        <v>50</v>
      </c>
      <c r="E27" s="21" t="n">
        <f aca="false">IF(scenario="Upside",D27,C27)</f>
        <v>50</v>
      </c>
      <c r="F27" s="22" t="s">
        <v>36</v>
      </c>
      <c r="G27" s="16" t="s">
        <v>71</v>
      </c>
    </row>
    <row r="28" customFormat="false" ht="15" hidden="false" customHeight="false" outlineLevel="0" collapsed="false">
      <c r="B28" s="19" t="s">
        <v>72</v>
      </c>
      <c r="C28" s="25" t="n">
        <v>50</v>
      </c>
      <c r="D28" s="25" t="n">
        <v>100</v>
      </c>
      <c r="E28" s="26" t="n">
        <f aca="false">IF(scenario="Upside",D28,C28)</f>
        <v>50</v>
      </c>
      <c r="F28" s="22" t="s">
        <v>53</v>
      </c>
      <c r="G28" s="16" t="s">
        <v>54</v>
      </c>
    </row>
    <row r="29" customFormat="false" ht="15" hidden="false" customHeight="false" outlineLevel="0" collapsed="false">
      <c r="B29" s="19" t="s">
        <v>73</v>
      </c>
      <c r="C29" s="25" t="n">
        <v>1000</v>
      </c>
      <c r="D29" s="25" t="n">
        <v>1500</v>
      </c>
      <c r="E29" s="26" t="n">
        <f aca="false">IF(scenario="Upside",D29,C29)</f>
        <v>1000</v>
      </c>
      <c r="F29" s="22" t="s">
        <v>53</v>
      </c>
      <c r="G29" s="16" t="s">
        <v>74</v>
      </c>
    </row>
    <row r="30" customFormat="false" ht="15" hidden="false" customHeight="false" outlineLevel="0" collapsed="false">
      <c r="B30" s="19" t="s">
        <v>75</v>
      </c>
      <c r="C30" s="25" t="n">
        <v>3000</v>
      </c>
      <c r="D30" s="25" t="n">
        <v>5000</v>
      </c>
      <c r="E30" s="26" t="n">
        <f aca="false">IF(scenario="Upside",D30,C30)</f>
        <v>3000</v>
      </c>
      <c r="F30" s="22" t="s">
        <v>53</v>
      </c>
      <c r="G30" s="16" t="s">
        <v>76</v>
      </c>
    </row>
    <row r="31" customFormat="false" ht="15" hidden="false" customHeight="false" outlineLevel="0" collapsed="false">
      <c r="B31" s="19" t="s">
        <v>77</v>
      </c>
      <c r="C31" s="25" t="n">
        <v>6000</v>
      </c>
      <c r="D31" s="25" t="n">
        <v>10000</v>
      </c>
      <c r="E31" s="26" t="n">
        <f aca="false">IF(scenario="Upside",D31,C31)</f>
        <v>6000</v>
      </c>
      <c r="F31" s="22" t="s">
        <v>53</v>
      </c>
      <c r="G31" s="16" t="s">
        <v>78</v>
      </c>
    </row>
    <row r="32" customFormat="false" ht="15" hidden="false" customHeight="false" outlineLevel="0" collapsed="false">
      <c r="B32" s="19" t="s">
        <v>79</v>
      </c>
      <c r="C32" s="23" t="n">
        <v>0.3</v>
      </c>
      <c r="D32" s="23" t="n">
        <v>0.22</v>
      </c>
      <c r="E32" s="24" t="n">
        <f aca="false">IF(scenario="Upside",D32,C32)</f>
        <v>0.3</v>
      </c>
      <c r="F32" s="22" t="s">
        <v>62</v>
      </c>
      <c r="G32" s="16" t="s">
        <v>80</v>
      </c>
    </row>
    <row r="33" customFormat="false" ht="15" hidden="false" customHeight="false" outlineLevel="0" collapsed="false">
      <c r="B33" s="19" t="s">
        <v>81</v>
      </c>
      <c r="C33" s="20" t="n">
        <v>80</v>
      </c>
      <c r="D33" s="20" t="n">
        <v>50</v>
      </c>
      <c r="E33" s="21" t="n">
        <f aca="false">IF(scenario="Upside",D33,C33)</f>
        <v>80</v>
      </c>
      <c r="F33" s="22" t="s">
        <v>66</v>
      </c>
      <c r="G33" s="16" t="s">
        <v>82</v>
      </c>
    </row>
    <row r="34" customFormat="false" ht="15" hidden="false" customHeight="false" outlineLevel="0" collapsed="false">
      <c r="B34" s="19" t="s">
        <v>83</v>
      </c>
      <c r="C34" s="20" t="n">
        <v>5</v>
      </c>
      <c r="D34" s="20" t="n">
        <v>5</v>
      </c>
      <c r="E34" s="21" t="n">
        <f aca="false">IF(scenario="Upside",D34,C34)</f>
        <v>5</v>
      </c>
      <c r="F34" s="22" t="s">
        <v>36</v>
      </c>
      <c r="G34" s="16" t="s">
        <v>84</v>
      </c>
    </row>
    <row r="36" customFormat="false" ht="15" hidden="false" customHeight="false" outlineLevel="0" collapsed="false">
      <c r="B36" s="3" t="s">
        <v>85</v>
      </c>
      <c r="C36" s="18"/>
      <c r="D36" s="18"/>
      <c r="E36" s="18"/>
      <c r="F36" s="18"/>
      <c r="G36" s="18"/>
    </row>
    <row r="37" customFormat="false" ht="15" hidden="false" customHeight="false" outlineLevel="0" collapsed="false">
      <c r="B37" s="19" t="s">
        <v>86</v>
      </c>
      <c r="C37" s="20" t="n">
        <v>500</v>
      </c>
      <c r="D37" s="20" t="n">
        <v>500</v>
      </c>
      <c r="E37" s="21" t="n">
        <f aca="false">IF(scenario="Upside",D37,C37)</f>
        <v>500</v>
      </c>
      <c r="F37" s="22" t="s">
        <v>87</v>
      </c>
      <c r="G37" s="16" t="s">
        <v>37</v>
      </c>
    </row>
    <row r="38" customFormat="false" ht="15" hidden="false" customHeight="false" outlineLevel="0" collapsed="false">
      <c r="B38" s="19" t="s">
        <v>88</v>
      </c>
      <c r="C38" s="23" t="n">
        <v>0.75</v>
      </c>
      <c r="D38" s="23" t="n">
        <v>0.85</v>
      </c>
      <c r="E38" s="24" t="n">
        <f aca="false">IF(scenario="Upside",D38,C38)</f>
        <v>0.75</v>
      </c>
      <c r="F38" s="22" t="s">
        <v>44</v>
      </c>
      <c r="G38" s="16" t="s">
        <v>37</v>
      </c>
    </row>
    <row r="39" customFormat="false" ht="15" hidden="false" customHeight="false" outlineLevel="0" collapsed="false">
      <c r="B39" s="19" t="s">
        <v>89</v>
      </c>
      <c r="C39" s="23" t="n">
        <v>0.6</v>
      </c>
      <c r="D39" s="23" t="n">
        <v>0.6</v>
      </c>
      <c r="E39" s="24" t="n">
        <f aca="false">IF(scenario="Upside",D39,C39)</f>
        <v>0.6</v>
      </c>
      <c r="F39" s="22" t="s">
        <v>44</v>
      </c>
      <c r="G39" s="16" t="s">
        <v>90</v>
      </c>
    </row>
    <row r="40" customFormat="false" ht="15" hidden="false" customHeight="false" outlineLevel="0" collapsed="false">
      <c r="B40" s="19" t="s">
        <v>91</v>
      </c>
      <c r="C40" s="25" t="n">
        <v>2</v>
      </c>
      <c r="D40" s="25" t="n">
        <v>2</v>
      </c>
      <c r="E40" s="26" t="n">
        <f aca="false">IF(scenario="Upside",D40,C40)</f>
        <v>2</v>
      </c>
      <c r="F40" s="22" t="s">
        <v>53</v>
      </c>
      <c r="G40" s="16" t="s">
        <v>92</v>
      </c>
    </row>
    <row r="41" customFormat="false" ht="15" hidden="false" customHeight="false" outlineLevel="0" collapsed="false">
      <c r="B41" s="19" t="s">
        <v>93</v>
      </c>
      <c r="C41" s="20" t="n">
        <v>300</v>
      </c>
      <c r="D41" s="20" t="n">
        <v>300</v>
      </c>
      <c r="E41" s="21" t="n">
        <f aca="false">IF(scenario="Upside",D41,C41)</f>
        <v>300</v>
      </c>
      <c r="F41" s="22" t="s">
        <v>49</v>
      </c>
      <c r="G41" s="16" t="s">
        <v>37</v>
      </c>
    </row>
    <row r="42" customFormat="false" ht="15" hidden="false" customHeight="false" outlineLevel="0" collapsed="false">
      <c r="B42" s="19" t="s">
        <v>94</v>
      </c>
      <c r="C42" s="20" t="n">
        <v>150</v>
      </c>
      <c r="D42" s="20" t="n">
        <v>150</v>
      </c>
      <c r="E42" s="21" t="n">
        <f aca="false">IF(scenario="Upside",D42,C42)</f>
        <v>150</v>
      </c>
      <c r="F42" s="22" t="s">
        <v>49</v>
      </c>
      <c r="G42" s="16" t="s">
        <v>37</v>
      </c>
    </row>
    <row r="43" customFormat="false" ht="15" hidden="false" customHeight="false" outlineLevel="0" collapsed="false">
      <c r="B43" s="19" t="s">
        <v>95</v>
      </c>
      <c r="C43" s="25" t="n">
        <v>2</v>
      </c>
      <c r="D43" s="25" t="n">
        <v>2</v>
      </c>
      <c r="E43" s="26" t="n">
        <f aca="false">IF(scenario="Upside",D43,C43)</f>
        <v>2</v>
      </c>
      <c r="F43" s="22" t="s">
        <v>53</v>
      </c>
      <c r="G43" s="16" t="s">
        <v>92</v>
      </c>
    </row>
    <row r="44" customFormat="false" ht="15" hidden="false" customHeight="false" outlineLevel="0" collapsed="false">
      <c r="B44" s="19" t="s">
        <v>96</v>
      </c>
      <c r="C44" s="20" t="n">
        <v>300</v>
      </c>
      <c r="D44" s="20" t="n">
        <v>300</v>
      </c>
      <c r="E44" s="21" t="n">
        <f aca="false">IF(scenario="Upside",D44,C44)</f>
        <v>300</v>
      </c>
      <c r="F44" s="22" t="s">
        <v>49</v>
      </c>
      <c r="G44" s="16" t="s">
        <v>37</v>
      </c>
    </row>
    <row r="45" customFormat="false" ht="15" hidden="false" customHeight="false" outlineLevel="0" collapsed="false">
      <c r="B45" s="19" t="s">
        <v>97</v>
      </c>
      <c r="C45" s="23" t="n">
        <v>0.1</v>
      </c>
      <c r="D45" s="23" t="n">
        <v>0.15</v>
      </c>
      <c r="E45" s="24" t="n">
        <f aca="false">IF(scenario="Upside",D45,C45)</f>
        <v>0.1</v>
      </c>
      <c r="F45" s="22" t="s">
        <v>44</v>
      </c>
      <c r="G45" s="16" t="s">
        <v>37</v>
      </c>
    </row>
    <row r="46" customFormat="false" ht="15" hidden="false" customHeight="false" outlineLevel="0" collapsed="false">
      <c r="B46" s="19" t="s">
        <v>98</v>
      </c>
      <c r="C46" s="20" t="n">
        <v>100</v>
      </c>
      <c r="D46" s="20" t="n">
        <v>100</v>
      </c>
      <c r="E46" s="21" t="n">
        <f aca="false">IF(scenario="Upside",D46,C46)</f>
        <v>100</v>
      </c>
      <c r="F46" s="22" t="s">
        <v>49</v>
      </c>
      <c r="G46" s="16" t="s">
        <v>99</v>
      </c>
    </row>
    <row r="47" customFormat="false" ht="15" hidden="false" customHeight="false" outlineLevel="0" collapsed="false">
      <c r="B47" s="19" t="s">
        <v>100</v>
      </c>
      <c r="C47" s="20" t="n">
        <v>300</v>
      </c>
      <c r="D47" s="20" t="n">
        <v>300</v>
      </c>
      <c r="E47" s="21" t="n">
        <f aca="false">IF(scenario="Upside",D47,C47)</f>
        <v>300</v>
      </c>
      <c r="F47" s="22" t="s">
        <v>87</v>
      </c>
      <c r="G47" s="16" t="s">
        <v>101</v>
      </c>
    </row>
    <row r="48" customFormat="false" ht="15" hidden="false" customHeight="false" outlineLevel="0" collapsed="false">
      <c r="B48" s="19" t="s">
        <v>102</v>
      </c>
      <c r="C48" s="23" t="n">
        <v>0.5</v>
      </c>
      <c r="D48" s="23" t="n">
        <v>0.6</v>
      </c>
      <c r="E48" s="24" t="n">
        <f aca="false">IF(scenario="Upside",D48,C48)</f>
        <v>0.5</v>
      </c>
      <c r="F48" s="22" t="s">
        <v>44</v>
      </c>
      <c r="G48" s="16" t="s">
        <v>103</v>
      </c>
    </row>
    <row r="49" customFormat="false" ht="15" hidden="false" customHeight="false" outlineLevel="0" collapsed="false">
      <c r="B49" s="19" t="s">
        <v>104</v>
      </c>
      <c r="C49" s="23" t="n">
        <v>0.7</v>
      </c>
      <c r="D49" s="23" t="n">
        <v>0.7</v>
      </c>
      <c r="E49" s="24" t="n">
        <f aca="false">IF(scenario="Upside",D49,C49)</f>
        <v>0.7</v>
      </c>
      <c r="F49" s="22" t="s">
        <v>44</v>
      </c>
      <c r="G49" s="16" t="s">
        <v>103</v>
      </c>
    </row>
    <row r="50" customFormat="false" ht="15" hidden="false" customHeight="false" outlineLevel="0" collapsed="false">
      <c r="B50" s="19" t="s">
        <v>105</v>
      </c>
      <c r="C50" s="20" t="n">
        <v>100</v>
      </c>
      <c r="D50" s="20" t="n">
        <v>100</v>
      </c>
      <c r="E50" s="21" t="n">
        <f aca="false">IF(scenario="Upside",D50,C50)</f>
        <v>100</v>
      </c>
      <c r="F50" s="22" t="s">
        <v>87</v>
      </c>
      <c r="G50" s="16" t="s">
        <v>106</v>
      </c>
    </row>
    <row r="51" customFormat="false" ht="15" hidden="false" customHeight="false" outlineLevel="0" collapsed="false">
      <c r="B51" s="19" t="s">
        <v>107</v>
      </c>
      <c r="C51" s="23" t="n">
        <v>0.85</v>
      </c>
      <c r="D51" s="23" t="n">
        <v>0.9</v>
      </c>
      <c r="E51" s="24" t="n">
        <f aca="false">IF(scenario="Upside",D51,C51)</f>
        <v>0.85</v>
      </c>
      <c r="F51" s="22" t="s">
        <v>44</v>
      </c>
      <c r="G51" s="16" t="s">
        <v>108</v>
      </c>
    </row>
    <row r="52" customFormat="false" ht="15" hidden="false" customHeight="false" outlineLevel="0" collapsed="false">
      <c r="B52" s="19" t="s">
        <v>109</v>
      </c>
      <c r="C52" s="23" t="n">
        <v>0.55</v>
      </c>
      <c r="D52" s="23" t="n">
        <v>0.55</v>
      </c>
      <c r="E52" s="24" t="n">
        <f aca="false">IF(scenario="Upside",D52,C52)</f>
        <v>0.55</v>
      </c>
      <c r="F52" s="22" t="s">
        <v>44</v>
      </c>
      <c r="G52" s="16" t="s">
        <v>110</v>
      </c>
    </row>
    <row r="54" customFormat="false" ht="15" hidden="false" customHeight="false" outlineLevel="0" collapsed="false">
      <c r="B54" s="3" t="s">
        <v>111</v>
      </c>
      <c r="C54" s="18"/>
      <c r="D54" s="18"/>
      <c r="E54" s="18"/>
      <c r="F54" s="18"/>
      <c r="G54" s="18"/>
    </row>
    <row r="55" customFormat="false" ht="15" hidden="false" customHeight="false" outlineLevel="0" collapsed="false">
      <c r="B55" s="19" t="s">
        <v>112</v>
      </c>
      <c r="C55" s="20" t="n">
        <v>110</v>
      </c>
      <c r="D55" s="20" t="n">
        <v>110</v>
      </c>
      <c r="E55" s="21" t="n">
        <f aca="false">IF(scenario="Upside",D55,C55)</f>
        <v>110</v>
      </c>
      <c r="F55" s="22" t="s">
        <v>87</v>
      </c>
      <c r="G55" s="16" t="s">
        <v>113</v>
      </c>
    </row>
    <row r="56" customFormat="false" ht="15" hidden="false" customHeight="false" outlineLevel="0" collapsed="false">
      <c r="B56" s="19" t="s">
        <v>114</v>
      </c>
      <c r="C56" s="20" t="n">
        <v>12</v>
      </c>
      <c r="D56" s="20" t="n">
        <v>12</v>
      </c>
      <c r="E56" s="21" t="n">
        <f aca="false">IF(scenario="Upside",D56,C56)</f>
        <v>12</v>
      </c>
      <c r="F56" s="22" t="s">
        <v>115</v>
      </c>
      <c r="G56" s="16" t="s">
        <v>113</v>
      </c>
    </row>
    <row r="57" customFormat="false" ht="15" hidden="false" customHeight="false" outlineLevel="0" collapsed="false">
      <c r="B57" s="19" t="s">
        <v>116</v>
      </c>
      <c r="C57" s="25" t="n">
        <v>1</v>
      </c>
      <c r="D57" s="25" t="n">
        <v>1</v>
      </c>
      <c r="E57" s="26" t="n">
        <f aca="false">IF(scenario="Upside",D57,C57)</f>
        <v>1</v>
      </c>
      <c r="F57" s="22" t="s">
        <v>53</v>
      </c>
      <c r="G57" s="16" t="s">
        <v>117</v>
      </c>
    </row>
    <row r="58" customFormat="false" ht="15" hidden="false" customHeight="false" outlineLevel="0" collapsed="false">
      <c r="B58" s="19" t="s">
        <v>118</v>
      </c>
      <c r="C58" s="20" t="n">
        <v>120</v>
      </c>
      <c r="D58" s="20" t="n">
        <v>120</v>
      </c>
      <c r="E58" s="21" t="n">
        <f aca="false">IF(scenario="Upside",D58,C58)</f>
        <v>120</v>
      </c>
      <c r="F58" s="22" t="s">
        <v>49</v>
      </c>
      <c r="G58" s="16" t="s">
        <v>119</v>
      </c>
    </row>
    <row r="59" customFormat="false" ht="15" hidden="false" customHeight="false" outlineLevel="0" collapsed="false">
      <c r="B59" s="19" t="s">
        <v>120</v>
      </c>
      <c r="C59" s="25" t="n">
        <v>4</v>
      </c>
      <c r="D59" s="25" t="n">
        <v>4</v>
      </c>
      <c r="E59" s="26" t="n">
        <f aca="false">IF(scenario="Upside",D59,C59)</f>
        <v>4</v>
      </c>
      <c r="F59" s="22" t="s">
        <v>121</v>
      </c>
      <c r="G59" s="16" t="s">
        <v>37</v>
      </c>
    </row>
    <row r="60" customFormat="false" ht="15" hidden="false" customHeight="false" outlineLevel="0" collapsed="false">
      <c r="B60" s="19" t="s">
        <v>122</v>
      </c>
      <c r="C60" s="20" t="n">
        <v>250</v>
      </c>
      <c r="D60" s="20" t="n">
        <v>250</v>
      </c>
      <c r="E60" s="21" t="n">
        <f aca="false">IF(scenario="Upside",D60,C60)</f>
        <v>250</v>
      </c>
      <c r="F60" s="22" t="s">
        <v>49</v>
      </c>
      <c r="G60" s="16" t="s">
        <v>123</v>
      </c>
    </row>
    <row r="61" customFormat="false" ht="15" hidden="false" customHeight="false" outlineLevel="0" collapsed="false">
      <c r="B61" s="19" t="s">
        <v>124</v>
      </c>
      <c r="C61" s="25" t="n">
        <v>4</v>
      </c>
      <c r="D61" s="25" t="n">
        <v>4</v>
      </c>
      <c r="E61" s="26" t="n">
        <f aca="false">IF(scenario="Upside",D61,C61)</f>
        <v>4</v>
      </c>
      <c r="F61" s="22" t="s">
        <v>121</v>
      </c>
      <c r="G61" s="16" t="s">
        <v>125</v>
      </c>
    </row>
    <row r="62" customFormat="false" ht="15" hidden="false" customHeight="false" outlineLevel="0" collapsed="false">
      <c r="B62" s="19" t="s">
        <v>126</v>
      </c>
      <c r="C62" s="20" t="n">
        <v>100</v>
      </c>
      <c r="D62" s="20" t="n">
        <v>100</v>
      </c>
      <c r="E62" s="21" t="n">
        <f aca="false">IF(scenario="Upside",D62,C62)</f>
        <v>100</v>
      </c>
      <c r="F62" s="22" t="s">
        <v>49</v>
      </c>
      <c r="G62" s="16" t="s">
        <v>127</v>
      </c>
    </row>
    <row r="63" customFormat="false" ht="15" hidden="false" customHeight="false" outlineLevel="0" collapsed="false">
      <c r="B63" s="19" t="s">
        <v>128</v>
      </c>
      <c r="C63" s="25" t="n">
        <v>10</v>
      </c>
      <c r="D63" s="25" t="n">
        <v>10</v>
      </c>
      <c r="E63" s="26" t="n">
        <f aca="false">IF(scenario="Upside",D63,C63)</f>
        <v>10</v>
      </c>
      <c r="F63" s="22" t="s">
        <v>129</v>
      </c>
      <c r="G63" s="16" t="s">
        <v>130</v>
      </c>
    </row>
    <row r="64" customFormat="false" ht="15" hidden="false" customHeight="false" outlineLevel="0" collapsed="false">
      <c r="B64" s="19" t="s">
        <v>131</v>
      </c>
      <c r="C64" s="20" t="n">
        <v>12</v>
      </c>
      <c r="D64" s="20" t="n">
        <v>12</v>
      </c>
      <c r="E64" s="21" t="n">
        <f aca="false">IF(scenario="Upside",D64,C64)</f>
        <v>12</v>
      </c>
      <c r="F64" s="22" t="s">
        <v>87</v>
      </c>
      <c r="G64" s="16" t="s">
        <v>37</v>
      </c>
    </row>
    <row r="65" customFormat="false" ht="15" hidden="false" customHeight="false" outlineLevel="0" collapsed="false">
      <c r="B65" s="19" t="s">
        <v>132</v>
      </c>
      <c r="C65" s="20" t="n">
        <v>5</v>
      </c>
      <c r="D65" s="20" t="n">
        <v>5</v>
      </c>
      <c r="E65" s="21" t="n">
        <f aca="false">IF(scenario="Upside",D65,C65)</f>
        <v>5</v>
      </c>
      <c r="F65" s="22" t="s">
        <v>87</v>
      </c>
      <c r="G65" s="16" t="s">
        <v>37</v>
      </c>
    </row>
    <row r="66" customFormat="false" ht="15" hidden="false" customHeight="false" outlineLevel="0" collapsed="false">
      <c r="B66" s="19" t="s">
        <v>133</v>
      </c>
      <c r="C66" s="23" t="n">
        <v>0.03</v>
      </c>
      <c r="D66" s="23" t="n">
        <v>0.03</v>
      </c>
      <c r="E66" s="24" t="n">
        <f aca="false">IF(scenario="Upside",D66,C66)</f>
        <v>0.03</v>
      </c>
      <c r="F66" s="22" t="s">
        <v>44</v>
      </c>
      <c r="G66" s="16" t="s">
        <v>37</v>
      </c>
    </row>
    <row r="68" customFormat="false" ht="15" hidden="false" customHeight="false" outlineLevel="0" collapsed="false">
      <c r="B68" s="3" t="s">
        <v>134</v>
      </c>
      <c r="C68" s="18"/>
      <c r="D68" s="18"/>
      <c r="E68" s="18"/>
      <c r="F68" s="18"/>
      <c r="G68" s="18"/>
    </row>
    <row r="69" customFormat="false" ht="15" hidden="false" customHeight="false" outlineLevel="0" collapsed="false">
      <c r="B69" s="19" t="s">
        <v>135</v>
      </c>
      <c r="C69" s="23" t="n">
        <v>0.22</v>
      </c>
      <c r="D69" s="23" t="n">
        <v>0.22</v>
      </c>
      <c r="E69" s="24" t="n">
        <f aca="false">IF(scenario="Upside",D69,C69)</f>
        <v>0.22</v>
      </c>
      <c r="F69" s="22" t="s">
        <v>44</v>
      </c>
      <c r="G69" s="16" t="s">
        <v>136</v>
      </c>
    </row>
    <row r="70" customFormat="false" ht="15" hidden="false" customHeight="false" outlineLevel="0" collapsed="false">
      <c r="B70" s="19" t="s">
        <v>137</v>
      </c>
      <c r="C70" s="20" t="n">
        <v>400000</v>
      </c>
      <c r="D70" s="20" t="n">
        <v>400000</v>
      </c>
      <c r="E70" s="21" t="n">
        <f aca="false">IF(scenario="Upside",D70,C70)</f>
        <v>400000</v>
      </c>
      <c r="F70" s="22" t="s">
        <v>39</v>
      </c>
      <c r="G70" s="16" t="s">
        <v>37</v>
      </c>
    </row>
    <row r="71" customFormat="false" ht="15" hidden="false" customHeight="false" outlineLevel="0" collapsed="false">
      <c r="B71" s="19" t="s">
        <v>138</v>
      </c>
      <c r="C71" s="25" t="n">
        <v>1</v>
      </c>
      <c r="D71" s="25" t="n">
        <v>1</v>
      </c>
      <c r="E71" s="26" t="n">
        <f aca="false">IF(scenario="Upside",D71,C71)</f>
        <v>1</v>
      </c>
      <c r="F71" s="22" t="s">
        <v>53</v>
      </c>
      <c r="G71" s="16" t="s">
        <v>139</v>
      </c>
    </row>
    <row r="72" customFormat="false" ht="15" hidden="false" customHeight="false" outlineLevel="0" collapsed="false">
      <c r="B72" s="19" t="s">
        <v>140</v>
      </c>
      <c r="C72" s="25" t="n">
        <v>1</v>
      </c>
      <c r="D72" s="25" t="n">
        <v>1</v>
      </c>
      <c r="E72" s="26" t="n">
        <f aca="false">IF(scenario="Upside",D72,C72)</f>
        <v>1</v>
      </c>
      <c r="F72" s="22" t="s">
        <v>53</v>
      </c>
      <c r="G72" s="16" t="s">
        <v>139</v>
      </c>
    </row>
    <row r="73" customFormat="false" ht="15" hidden="false" customHeight="false" outlineLevel="0" collapsed="false">
      <c r="B73" s="19" t="s">
        <v>141</v>
      </c>
      <c r="C73" s="25" t="n">
        <v>1</v>
      </c>
      <c r="D73" s="25" t="n">
        <v>1</v>
      </c>
      <c r="E73" s="26" t="n">
        <f aca="false">IF(scenario="Upside",D73,C73)</f>
        <v>1</v>
      </c>
      <c r="F73" s="22" t="s">
        <v>53</v>
      </c>
      <c r="G73" s="16" t="s">
        <v>139</v>
      </c>
    </row>
    <row r="74" customFormat="false" ht="15" hidden="false" customHeight="false" outlineLevel="0" collapsed="false">
      <c r="B74" s="19" t="s">
        <v>142</v>
      </c>
      <c r="C74" s="20" t="n">
        <v>120000</v>
      </c>
      <c r="D74" s="20" t="n">
        <v>120000</v>
      </c>
      <c r="E74" s="21" t="n">
        <f aca="false">IF(scenario="Upside",D74,C74)</f>
        <v>120000</v>
      </c>
      <c r="F74" s="22" t="s">
        <v>39</v>
      </c>
      <c r="G74" s="16" t="s">
        <v>37</v>
      </c>
    </row>
    <row r="75" customFormat="false" ht="15" hidden="false" customHeight="false" outlineLevel="0" collapsed="false">
      <c r="B75" s="19" t="s">
        <v>143</v>
      </c>
      <c r="C75" s="25" t="n">
        <v>1</v>
      </c>
      <c r="D75" s="25" t="n">
        <v>1</v>
      </c>
      <c r="E75" s="26" t="n">
        <f aca="false">IF(scenario="Upside",D75,C75)</f>
        <v>1</v>
      </c>
      <c r="F75" s="22" t="s">
        <v>53</v>
      </c>
      <c r="G75" s="16" t="s">
        <v>139</v>
      </c>
    </row>
    <row r="76" customFormat="false" ht="15" hidden="false" customHeight="false" outlineLevel="0" collapsed="false">
      <c r="B76" s="19" t="s">
        <v>144</v>
      </c>
      <c r="C76" s="25" t="n">
        <v>1</v>
      </c>
      <c r="D76" s="25" t="n">
        <v>1</v>
      </c>
      <c r="E76" s="26" t="n">
        <f aca="false">IF(scenario="Upside",D76,C76)</f>
        <v>1</v>
      </c>
      <c r="F76" s="22" t="s">
        <v>53</v>
      </c>
      <c r="G76" s="16" t="s">
        <v>139</v>
      </c>
    </row>
    <row r="77" customFormat="false" ht="15" hidden="false" customHeight="false" outlineLevel="0" collapsed="false">
      <c r="B77" s="19" t="s">
        <v>145</v>
      </c>
      <c r="C77" s="25" t="n">
        <v>1</v>
      </c>
      <c r="D77" s="25" t="n">
        <v>1</v>
      </c>
      <c r="E77" s="26" t="n">
        <f aca="false">IF(scenario="Upside",D77,C77)</f>
        <v>1</v>
      </c>
      <c r="F77" s="22" t="s">
        <v>53</v>
      </c>
      <c r="G77" s="16" t="s">
        <v>139</v>
      </c>
    </row>
    <row r="78" customFormat="false" ht="15" hidden="false" customHeight="false" outlineLevel="0" collapsed="false">
      <c r="B78" s="19" t="s">
        <v>146</v>
      </c>
      <c r="C78" s="20" t="n">
        <v>150000</v>
      </c>
      <c r="D78" s="20" t="n">
        <v>150000</v>
      </c>
      <c r="E78" s="21" t="n">
        <f aca="false">IF(scenario="Upside",D78,C78)</f>
        <v>150000</v>
      </c>
      <c r="F78" s="22" t="s">
        <v>39</v>
      </c>
      <c r="G78" s="16" t="s">
        <v>37</v>
      </c>
    </row>
    <row r="79" customFormat="false" ht="15" hidden="false" customHeight="false" outlineLevel="0" collapsed="false">
      <c r="B79" s="19" t="s">
        <v>147</v>
      </c>
      <c r="C79" s="25" t="n">
        <v>1</v>
      </c>
      <c r="D79" s="25" t="n">
        <v>1</v>
      </c>
      <c r="E79" s="26" t="n">
        <f aca="false">IF(scenario="Upside",D79,C79)</f>
        <v>1</v>
      </c>
      <c r="F79" s="22" t="s">
        <v>53</v>
      </c>
      <c r="G79" s="16" t="s">
        <v>139</v>
      </c>
    </row>
    <row r="80" customFormat="false" ht="15" hidden="false" customHeight="false" outlineLevel="0" collapsed="false">
      <c r="B80" s="19" t="s">
        <v>148</v>
      </c>
      <c r="C80" s="25" t="n">
        <v>2</v>
      </c>
      <c r="D80" s="25" t="n">
        <v>2</v>
      </c>
      <c r="E80" s="26" t="n">
        <f aca="false">IF(scenario="Upside",D80,C80)</f>
        <v>2</v>
      </c>
      <c r="F80" s="22" t="s">
        <v>53</v>
      </c>
      <c r="G80" s="16" t="s">
        <v>139</v>
      </c>
    </row>
    <row r="81" customFormat="false" ht="15" hidden="false" customHeight="false" outlineLevel="0" collapsed="false">
      <c r="B81" s="19" t="s">
        <v>149</v>
      </c>
      <c r="C81" s="25" t="n">
        <v>3</v>
      </c>
      <c r="D81" s="25" t="n">
        <v>3</v>
      </c>
      <c r="E81" s="26" t="n">
        <f aca="false">IF(scenario="Upside",D81,C81)</f>
        <v>3</v>
      </c>
      <c r="F81" s="22" t="s">
        <v>53</v>
      </c>
      <c r="G81" s="16" t="s">
        <v>139</v>
      </c>
    </row>
    <row r="82" customFormat="false" ht="15" hidden="false" customHeight="false" outlineLevel="0" collapsed="false">
      <c r="B82" s="19" t="s">
        <v>150</v>
      </c>
      <c r="C82" s="20" t="n">
        <v>47000</v>
      </c>
      <c r="D82" s="20" t="n">
        <v>47000</v>
      </c>
      <c r="E82" s="21" t="n">
        <f aca="false">IF(scenario="Upside",D82,C82)</f>
        <v>47000</v>
      </c>
      <c r="F82" s="22" t="s">
        <v>39</v>
      </c>
      <c r="G82" s="16" t="s">
        <v>37</v>
      </c>
    </row>
    <row r="83" customFormat="false" ht="15" hidden="false" customHeight="false" outlineLevel="0" collapsed="false">
      <c r="B83" s="19" t="s">
        <v>151</v>
      </c>
      <c r="C83" s="25" t="n">
        <v>2</v>
      </c>
      <c r="D83" s="25" t="n">
        <v>2</v>
      </c>
      <c r="E83" s="26" t="n">
        <f aca="false">IF(scenario="Upside",D83,C83)</f>
        <v>2</v>
      </c>
      <c r="F83" s="22" t="s">
        <v>53</v>
      </c>
      <c r="G83" s="16" t="s">
        <v>139</v>
      </c>
    </row>
    <row r="84" customFormat="false" ht="15" hidden="false" customHeight="false" outlineLevel="0" collapsed="false">
      <c r="B84" s="19" t="s">
        <v>152</v>
      </c>
      <c r="C84" s="25" t="n">
        <v>4</v>
      </c>
      <c r="D84" s="25" t="n">
        <v>4</v>
      </c>
      <c r="E84" s="26" t="n">
        <f aca="false">IF(scenario="Upside",D84,C84)</f>
        <v>4</v>
      </c>
      <c r="F84" s="22" t="s">
        <v>53</v>
      </c>
      <c r="G84" s="16" t="s">
        <v>139</v>
      </c>
    </row>
    <row r="85" customFormat="false" ht="15" hidden="false" customHeight="false" outlineLevel="0" collapsed="false">
      <c r="B85" s="19" t="s">
        <v>153</v>
      </c>
      <c r="C85" s="25" t="n">
        <v>6</v>
      </c>
      <c r="D85" s="25" t="n">
        <v>6</v>
      </c>
      <c r="E85" s="26" t="n">
        <f aca="false">IF(scenario="Upside",D85,C85)</f>
        <v>6</v>
      </c>
      <c r="F85" s="22" t="s">
        <v>53</v>
      </c>
      <c r="G85" s="16" t="s">
        <v>139</v>
      </c>
    </row>
    <row r="86" customFormat="false" ht="15" hidden="false" customHeight="false" outlineLevel="0" collapsed="false">
      <c r="B86" s="19" t="s">
        <v>154</v>
      </c>
      <c r="C86" s="20" t="n">
        <v>150000</v>
      </c>
      <c r="D86" s="20" t="n">
        <v>150000</v>
      </c>
      <c r="E86" s="21" t="n">
        <f aca="false">IF(scenario="Upside",D86,C86)</f>
        <v>150000</v>
      </c>
      <c r="F86" s="22" t="s">
        <v>39</v>
      </c>
      <c r="G86" s="16" t="s">
        <v>37</v>
      </c>
    </row>
    <row r="87" customFormat="false" ht="15" hidden="false" customHeight="false" outlineLevel="0" collapsed="false">
      <c r="B87" s="19" t="s">
        <v>155</v>
      </c>
      <c r="C87" s="25" t="n">
        <v>1</v>
      </c>
      <c r="D87" s="25" t="n">
        <v>1</v>
      </c>
      <c r="E87" s="26" t="n">
        <f aca="false">IF(scenario="Upside",D87,C87)</f>
        <v>1</v>
      </c>
      <c r="F87" s="22" t="s">
        <v>53</v>
      </c>
      <c r="G87" s="16" t="s">
        <v>139</v>
      </c>
    </row>
    <row r="88" customFormat="false" ht="15" hidden="false" customHeight="false" outlineLevel="0" collapsed="false">
      <c r="B88" s="19" t="s">
        <v>156</v>
      </c>
      <c r="C88" s="25" t="n">
        <v>1</v>
      </c>
      <c r="D88" s="25" t="n">
        <v>1</v>
      </c>
      <c r="E88" s="26" t="n">
        <f aca="false">IF(scenario="Upside",D88,C88)</f>
        <v>1</v>
      </c>
      <c r="F88" s="22" t="s">
        <v>53</v>
      </c>
      <c r="G88" s="16" t="s">
        <v>139</v>
      </c>
    </row>
    <row r="89" customFormat="false" ht="15" hidden="false" customHeight="false" outlineLevel="0" collapsed="false">
      <c r="B89" s="19" t="s">
        <v>157</v>
      </c>
      <c r="C89" s="25" t="n">
        <v>1</v>
      </c>
      <c r="D89" s="25" t="n">
        <v>1</v>
      </c>
      <c r="E89" s="26" t="n">
        <f aca="false">IF(scenario="Upside",D89,C89)</f>
        <v>1</v>
      </c>
      <c r="F89" s="22" t="s">
        <v>53</v>
      </c>
      <c r="G89" s="16" t="s">
        <v>139</v>
      </c>
    </row>
    <row r="90" customFormat="false" ht="15" hidden="false" customHeight="false" outlineLevel="0" collapsed="false">
      <c r="B90" s="19" t="s">
        <v>158</v>
      </c>
      <c r="C90" s="20" t="n">
        <v>45000</v>
      </c>
      <c r="D90" s="20" t="n">
        <v>45000</v>
      </c>
      <c r="E90" s="21" t="n">
        <f aca="false">IF(scenario="Upside",D90,C90)</f>
        <v>45000</v>
      </c>
      <c r="F90" s="22" t="s">
        <v>39</v>
      </c>
      <c r="G90" s="16" t="s">
        <v>37</v>
      </c>
    </row>
    <row r="91" customFormat="false" ht="15" hidden="false" customHeight="false" outlineLevel="0" collapsed="false">
      <c r="B91" s="19" t="s">
        <v>159</v>
      </c>
      <c r="C91" s="25" t="n">
        <v>2</v>
      </c>
      <c r="D91" s="25" t="n">
        <v>2</v>
      </c>
      <c r="E91" s="26" t="n">
        <f aca="false">IF(scenario="Upside",D91,C91)</f>
        <v>2</v>
      </c>
      <c r="F91" s="22" t="s">
        <v>53</v>
      </c>
      <c r="G91" s="16" t="s">
        <v>139</v>
      </c>
    </row>
    <row r="92" customFormat="false" ht="15" hidden="false" customHeight="false" outlineLevel="0" collapsed="false">
      <c r="B92" s="19" t="s">
        <v>160</v>
      </c>
      <c r="C92" s="25" t="n">
        <v>4</v>
      </c>
      <c r="D92" s="25" t="n">
        <v>4</v>
      </c>
      <c r="E92" s="26" t="n">
        <f aca="false">IF(scenario="Upside",D92,C92)</f>
        <v>4</v>
      </c>
      <c r="F92" s="22" t="s">
        <v>53</v>
      </c>
      <c r="G92" s="16" t="s">
        <v>139</v>
      </c>
    </row>
    <row r="93" customFormat="false" ht="15" hidden="false" customHeight="false" outlineLevel="0" collapsed="false">
      <c r="B93" s="19" t="s">
        <v>161</v>
      </c>
      <c r="C93" s="25" t="n">
        <v>6</v>
      </c>
      <c r="D93" s="25" t="n">
        <v>6</v>
      </c>
      <c r="E93" s="26" t="n">
        <f aca="false">IF(scenario="Upside",D93,C93)</f>
        <v>6</v>
      </c>
      <c r="F93" s="22" t="s">
        <v>53</v>
      </c>
      <c r="G93" s="16" t="s">
        <v>139</v>
      </c>
    </row>
    <row r="94" customFormat="false" ht="15" hidden="false" customHeight="false" outlineLevel="0" collapsed="false">
      <c r="B94" s="19" t="s">
        <v>162</v>
      </c>
      <c r="C94" s="20" t="n">
        <v>120000</v>
      </c>
      <c r="D94" s="20" t="n">
        <v>120000</v>
      </c>
      <c r="E94" s="21" t="n">
        <f aca="false">IF(scenario="Upside",D94,C94)</f>
        <v>120000</v>
      </c>
      <c r="F94" s="22" t="s">
        <v>39</v>
      </c>
      <c r="G94" s="16" t="s">
        <v>37</v>
      </c>
    </row>
    <row r="95" customFormat="false" ht="15" hidden="false" customHeight="false" outlineLevel="0" collapsed="false">
      <c r="B95" s="19" t="s">
        <v>163</v>
      </c>
      <c r="C95" s="25" t="n">
        <v>1</v>
      </c>
      <c r="D95" s="25" t="n">
        <v>1</v>
      </c>
      <c r="E95" s="26" t="n">
        <f aca="false">IF(scenario="Upside",D95,C95)</f>
        <v>1</v>
      </c>
      <c r="F95" s="22" t="s">
        <v>53</v>
      </c>
      <c r="G95" s="16" t="s">
        <v>139</v>
      </c>
    </row>
    <row r="96" customFormat="false" ht="15" hidden="false" customHeight="false" outlineLevel="0" collapsed="false">
      <c r="B96" s="19" t="s">
        <v>164</v>
      </c>
      <c r="C96" s="25" t="n">
        <v>2</v>
      </c>
      <c r="D96" s="25" t="n">
        <v>2</v>
      </c>
      <c r="E96" s="26" t="n">
        <f aca="false">IF(scenario="Upside",D96,C96)</f>
        <v>2</v>
      </c>
      <c r="F96" s="22" t="s">
        <v>53</v>
      </c>
      <c r="G96" s="16" t="s">
        <v>139</v>
      </c>
    </row>
    <row r="97" customFormat="false" ht="15" hidden="false" customHeight="false" outlineLevel="0" collapsed="false">
      <c r="B97" s="19" t="s">
        <v>165</v>
      </c>
      <c r="C97" s="25" t="n">
        <v>3</v>
      </c>
      <c r="D97" s="25" t="n">
        <v>3</v>
      </c>
      <c r="E97" s="26" t="n">
        <f aca="false">IF(scenario="Upside",D97,C97)</f>
        <v>3</v>
      </c>
      <c r="F97" s="22" t="s">
        <v>53</v>
      </c>
      <c r="G97" s="16" t="s">
        <v>139</v>
      </c>
    </row>
    <row r="98" customFormat="false" ht="15" hidden="false" customHeight="false" outlineLevel="0" collapsed="false">
      <c r="B98" s="19" t="s">
        <v>166</v>
      </c>
      <c r="C98" s="20" t="n">
        <v>75000</v>
      </c>
      <c r="D98" s="20" t="n">
        <v>75000</v>
      </c>
      <c r="E98" s="21" t="n">
        <f aca="false">IF(scenario="Upside",D98,C98)</f>
        <v>75000</v>
      </c>
      <c r="F98" s="22" t="s">
        <v>39</v>
      </c>
      <c r="G98" s="16" t="s">
        <v>37</v>
      </c>
    </row>
    <row r="99" customFormat="false" ht="15" hidden="false" customHeight="false" outlineLevel="0" collapsed="false">
      <c r="B99" s="19" t="s">
        <v>167</v>
      </c>
      <c r="C99" s="25" t="n">
        <v>1</v>
      </c>
      <c r="D99" s="25" t="n">
        <v>1</v>
      </c>
      <c r="E99" s="26" t="n">
        <f aca="false">IF(scenario="Upside",D99,C99)</f>
        <v>1</v>
      </c>
      <c r="F99" s="22" t="s">
        <v>53</v>
      </c>
      <c r="G99" s="16" t="s">
        <v>139</v>
      </c>
    </row>
    <row r="100" customFormat="false" ht="15" hidden="false" customHeight="false" outlineLevel="0" collapsed="false">
      <c r="B100" s="19" t="s">
        <v>168</v>
      </c>
      <c r="C100" s="25" t="n">
        <v>1</v>
      </c>
      <c r="D100" s="25" t="n">
        <v>1</v>
      </c>
      <c r="E100" s="26" t="n">
        <f aca="false">IF(scenario="Upside",D100,C100)</f>
        <v>1</v>
      </c>
      <c r="F100" s="22" t="s">
        <v>53</v>
      </c>
      <c r="G100" s="16" t="s">
        <v>139</v>
      </c>
    </row>
    <row r="101" customFormat="false" ht="15" hidden="false" customHeight="false" outlineLevel="0" collapsed="false">
      <c r="B101" s="19" t="s">
        <v>169</v>
      </c>
      <c r="C101" s="25" t="n">
        <v>2</v>
      </c>
      <c r="D101" s="25" t="n">
        <v>2</v>
      </c>
      <c r="E101" s="26" t="n">
        <f aca="false">IF(scenario="Upside",D101,C101)</f>
        <v>2</v>
      </c>
      <c r="F101" s="22" t="s">
        <v>53</v>
      </c>
      <c r="G101" s="16" t="s">
        <v>139</v>
      </c>
    </row>
    <row r="103" customFormat="false" ht="15" hidden="false" customHeight="false" outlineLevel="0" collapsed="false">
      <c r="B103" s="3" t="s">
        <v>170</v>
      </c>
      <c r="C103" s="18"/>
      <c r="D103" s="18"/>
      <c r="E103" s="18"/>
      <c r="F103" s="18"/>
      <c r="G103" s="18"/>
    </row>
    <row r="104" customFormat="false" ht="15" hidden="false" customHeight="false" outlineLevel="0" collapsed="false">
      <c r="B104" s="19" t="s">
        <v>171</v>
      </c>
      <c r="C104" s="20" t="n">
        <v>35000</v>
      </c>
      <c r="D104" s="20" t="n">
        <v>35000</v>
      </c>
      <c r="E104" s="21" t="n">
        <f aca="false">IF(scenario="Upside",D104,C104)</f>
        <v>35000</v>
      </c>
      <c r="F104" s="22" t="s">
        <v>36</v>
      </c>
      <c r="G104" s="16" t="s">
        <v>37</v>
      </c>
    </row>
    <row r="105" customFormat="false" ht="15" hidden="false" customHeight="false" outlineLevel="0" collapsed="false">
      <c r="B105" s="19" t="s">
        <v>172</v>
      </c>
      <c r="C105" s="20" t="n">
        <v>4000</v>
      </c>
      <c r="D105" s="20" t="n">
        <v>4000</v>
      </c>
      <c r="E105" s="21" t="n">
        <f aca="false">IF(scenario="Upside",D105,C105)</f>
        <v>4000</v>
      </c>
      <c r="F105" s="22" t="s">
        <v>36</v>
      </c>
      <c r="G105" s="16" t="s">
        <v>37</v>
      </c>
    </row>
    <row r="106" customFormat="false" ht="15" hidden="false" customHeight="false" outlineLevel="0" collapsed="false">
      <c r="B106" s="19" t="s">
        <v>173</v>
      </c>
      <c r="C106" s="20" t="n">
        <v>25000</v>
      </c>
      <c r="D106" s="20" t="n">
        <v>25000</v>
      </c>
      <c r="E106" s="21" t="n">
        <f aca="false">IF(scenario="Upside",D106,C106)</f>
        <v>25000</v>
      </c>
      <c r="F106" s="22" t="s">
        <v>36</v>
      </c>
      <c r="G106" s="16" t="s">
        <v>37</v>
      </c>
    </row>
    <row r="107" customFormat="false" ht="15" hidden="false" customHeight="false" outlineLevel="0" collapsed="false">
      <c r="B107" s="19" t="s">
        <v>174</v>
      </c>
      <c r="C107" s="20" t="n">
        <v>3000</v>
      </c>
      <c r="D107" s="20" t="n">
        <v>3000</v>
      </c>
      <c r="E107" s="21" t="n">
        <f aca="false">IF(scenario="Upside",D107,C107)</f>
        <v>3000</v>
      </c>
      <c r="F107" s="22" t="s">
        <v>36</v>
      </c>
      <c r="G107" s="16" t="s">
        <v>37</v>
      </c>
    </row>
    <row r="108" customFormat="false" ht="15" hidden="false" customHeight="false" outlineLevel="0" collapsed="false">
      <c r="B108" s="19" t="s">
        <v>175</v>
      </c>
      <c r="C108" s="25" t="n">
        <v>6</v>
      </c>
      <c r="D108" s="25" t="n">
        <v>6</v>
      </c>
      <c r="E108" s="26" t="n">
        <f aca="false">IF(scenario="Upside",D108,C108)</f>
        <v>6</v>
      </c>
      <c r="F108" s="22" t="s">
        <v>176</v>
      </c>
      <c r="G108" s="16" t="s">
        <v>177</v>
      </c>
    </row>
    <row r="109" customFormat="false" ht="15" hidden="false" customHeight="false" outlineLevel="0" collapsed="false">
      <c r="B109" s="19" t="s">
        <v>178</v>
      </c>
      <c r="C109" s="25" t="n">
        <v>16</v>
      </c>
      <c r="D109" s="25" t="n">
        <v>14</v>
      </c>
      <c r="E109" s="26" t="n">
        <f aca="false">IF(scenario="Upside",D109,C109)</f>
        <v>16</v>
      </c>
      <c r="F109" s="22" t="s">
        <v>179</v>
      </c>
      <c r="G109" s="16" t="s">
        <v>180</v>
      </c>
    </row>
    <row r="110" customFormat="false" ht="15" hidden="false" customHeight="false" outlineLevel="0" collapsed="false">
      <c r="B110" s="19" t="s">
        <v>181</v>
      </c>
      <c r="C110" s="25" t="n">
        <v>27</v>
      </c>
      <c r="D110" s="25" t="n">
        <v>24</v>
      </c>
      <c r="E110" s="26" t="n">
        <f aca="false">IF(scenario="Upside",D110,C110)</f>
        <v>27</v>
      </c>
      <c r="F110" s="22" t="s">
        <v>179</v>
      </c>
      <c r="G110" s="16" t="s">
        <v>182</v>
      </c>
    </row>
    <row r="111" customFormat="false" ht="15" hidden="false" customHeight="false" outlineLevel="0" collapsed="false">
      <c r="B111" s="19" t="s">
        <v>183</v>
      </c>
      <c r="C111" s="23" t="n">
        <v>1</v>
      </c>
      <c r="D111" s="23" t="n">
        <v>1</v>
      </c>
      <c r="E111" s="24" t="n">
        <f aca="false">IF(scenario="Upside",D111,C111)</f>
        <v>1</v>
      </c>
      <c r="F111" s="22" t="s">
        <v>44</v>
      </c>
      <c r="G111" s="16" t="s">
        <v>184</v>
      </c>
    </row>
    <row r="112" customFormat="false" ht="15" hidden="false" customHeight="false" outlineLevel="0" collapsed="false">
      <c r="B112" s="19" t="s">
        <v>185</v>
      </c>
      <c r="C112" s="20" t="n">
        <v>5000</v>
      </c>
      <c r="D112" s="20" t="n">
        <v>5000</v>
      </c>
      <c r="E112" s="21" t="n">
        <f aca="false">IF(scenario="Upside",D112,C112)</f>
        <v>5000</v>
      </c>
      <c r="F112" s="22" t="s">
        <v>36</v>
      </c>
      <c r="G112" s="16" t="s">
        <v>186</v>
      </c>
    </row>
    <row r="113" customFormat="false" ht="22.35" hidden="false" customHeight="false" outlineLevel="0" collapsed="false">
      <c r="B113" s="19" t="s">
        <v>187</v>
      </c>
      <c r="C113" s="20" t="n">
        <v>8300</v>
      </c>
      <c r="D113" s="20" t="n">
        <v>8300</v>
      </c>
      <c r="E113" s="21" t="n">
        <f aca="false">IF(scenario="Upside",D113,C113)</f>
        <v>8300</v>
      </c>
      <c r="F113" s="22" t="s">
        <v>36</v>
      </c>
      <c r="G113" s="16" t="s">
        <v>188</v>
      </c>
    </row>
    <row r="114" customFormat="false" ht="15" hidden="false" customHeight="false" outlineLevel="0" collapsed="false">
      <c r="B114" s="19" t="s">
        <v>189</v>
      </c>
      <c r="C114" s="20" t="n">
        <v>3500</v>
      </c>
      <c r="D114" s="20" t="n">
        <v>3500</v>
      </c>
      <c r="E114" s="21" t="n">
        <f aca="false">IF(scenario="Upside",D114,C114)</f>
        <v>3500</v>
      </c>
      <c r="F114" s="22" t="s">
        <v>36</v>
      </c>
      <c r="G114" s="16" t="s">
        <v>37</v>
      </c>
    </row>
    <row r="115" customFormat="false" ht="15" hidden="false" customHeight="false" outlineLevel="0" collapsed="false">
      <c r="B115" s="19" t="s">
        <v>190</v>
      </c>
      <c r="C115" s="20" t="n">
        <v>20000</v>
      </c>
      <c r="D115" s="20" t="n">
        <v>20000</v>
      </c>
      <c r="E115" s="21" t="n">
        <f aca="false">IF(scenario="Upside",D115,C115)</f>
        <v>20000</v>
      </c>
      <c r="F115" s="22" t="s">
        <v>36</v>
      </c>
      <c r="G115" s="16" t="s">
        <v>37</v>
      </c>
    </row>
    <row r="116" customFormat="false" ht="15" hidden="false" customHeight="false" outlineLevel="0" collapsed="false">
      <c r="B116" s="19" t="s">
        <v>191</v>
      </c>
      <c r="C116" s="23" t="n">
        <v>0.05</v>
      </c>
      <c r="D116" s="23" t="n">
        <v>0.05</v>
      </c>
      <c r="E116" s="24" t="n">
        <f aca="false">IF(scenario="Upside",D116,C116)</f>
        <v>0.05</v>
      </c>
      <c r="F116" s="22" t="s">
        <v>44</v>
      </c>
      <c r="G116" s="16" t="s">
        <v>192</v>
      </c>
    </row>
    <row r="118" customFormat="false" ht="15" hidden="false" customHeight="false" outlineLevel="0" collapsed="false">
      <c r="B118" s="3" t="s">
        <v>193</v>
      </c>
      <c r="C118" s="18"/>
      <c r="D118" s="18"/>
      <c r="E118" s="18"/>
      <c r="F118" s="18"/>
      <c r="G118" s="18"/>
    </row>
    <row r="119" customFormat="false" ht="15" hidden="false" customHeight="false" outlineLevel="0" collapsed="false">
      <c r="B119" s="19" t="s">
        <v>194</v>
      </c>
      <c r="C119" s="20" t="n">
        <v>600000</v>
      </c>
      <c r="D119" s="20" t="n">
        <v>600000</v>
      </c>
      <c r="E119" s="21" t="n">
        <f aca="false">IF(scenario="Upside",D119,C119)</f>
        <v>600000</v>
      </c>
      <c r="F119" s="22" t="s">
        <v>49</v>
      </c>
      <c r="G119" s="16" t="s">
        <v>37</v>
      </c>
    </row>
    <row r="120" customFormat="false" ht="15" hidden="false" customHeight="false" outlineLevel="0" collapsed="false">
      <c r="B120" s="19" t="s">
        <v>195</v>
      </c>
      <c r="C120" s="20" t="n">
        <v>300000</v>
      </c>
      <c r="D120" s="20" t="n">
        <v>300000</v>
      </c>
      <c r="E120" s="21" t="n">
        <f aca="false">IF(scenario="Upside",D120,C120)</f>
        <v>300000</v>
      </c>
      <c r="F120" s="22" t="s">
        <v>49</v>
      </c>
      <c r="G120" s="16" t="s">
        <v>37</v>
      </c>
    </row>
    <row r="121" customFormat="false" ht="15" hidden="false" customHeight="false" outlineLevel="0" collapsed="false">
      <c r="B121" s="19" t="s">
        <v>196</v>
      </c>
      <c r="C121" s="20" t="n">
        <v>250000</v>
      </c>
      <c r="D121" s="20" t="n">
        <v>250000</v>
      </c>
      <c r="E121" s="21" t="n">
        <f aca="false">IF(scenario="Upside",D121,C121)</f>
        <v>250000</v>
      </c>
      <c r="F121" s="22" t="s">
        <v>49</v>
      </c>
      <c r="G121" s="16" t="s">
        <v>197</v>
      </c>
    </row>
    <row r="122" customFormat="false" ht="15" hidden="false" customHeight="false" outlineLevel="0" collapsed="false">
      <c r="B122" s="19" t="s">
        <v>198</v>
      </c>
      <c r="C122" s="20" t="n">
        <v>125000</v>
      </c>
      <c r="D122" s="20" t="n">
        <v>125000</v>
      </c>
      <c r="E122" s="21" t="n">
        <f aca="false">IF(scenario="Upside",D122,C122)</f>
        <v>125000</v>
      </c>
      <c r="F122" s="22" t="s">
        <v>49</v>
      </c>
      <c r="G122" s="16" t="s">
        <v>37</v>
      </c>
    </row>
    <row r="123" customFormat="false" ht="15" hidden="false" customHeight="false" outlineLevel="0" collapsed="false">
      <c r="B123" s="19" t="s">
        <v>199</v>
      </c>
      <c r="C123" s="20" t="n">
        <v>400000</v>
      </c>
      <c r="D123" s="20" t="n">
        <v>400000</v>
      </c>
      <c r="E123" s="21" t="n">
        <f aca="false">IF(scenario="Upside",D123,C123)</f>
        <v>400000</v>
      </c>
      <c r="F123" s="22" t="s">
        <v>49</v>
      </c>
      <c r="G123" s="16" t="s">
        <v>37</v>
      </c>
    </row>
    <row r="124" customFormat="false" ht="15" hidden="false" customHeight="false" outlineLevel="0" collapsed="false">
      <c r="B124" s="19" t="s">
        <v>200</v>
      </c>
      <c r="C124" s="20" t="n">
        <v>250000</v>
      </c>
      <c r="D124" s="20" t="n">
        <v>250000</v>
      </c>
      <c r="E124" s="21" t="n">
        <f aca="false">IF(scenario="Upside",D124,C124)</f>
        <v>250000</v>
      </c>
      <c r="F124" s="22" t="s">
        <v>49</v>
      </c>
      <c r="G124" s="16" t="s">
        <v>37</v>
      </c>
    </row>
    <row r="125" customFormat="false" ht="15" hidden="false" customHeight="false" outlineLevel="0" collapsed="false">
      <c r="B125" s="19" t="s">
        <v>201</v>
      </c>
      <c r="C125" s="20" t="n">
        <v>100000</v>
      </c>
      <c r="D125" s="20" t="n">
        <v>100000</v>
      </c>
      <c r="E125" s="21" t="n">
        <f aca="false">IF(scenario="Upside",D125,C125)</f>
        <v>100000</v>
      </c>
      <c r="F125" s="22" t="s">
        <v>49</v>
      </c>
      <c r="G125" s="16" t="s">
        <v>202</v>
      </c>
    </row>
    <row r="126" customFormat="false" ht="15" hidden="false" customHeight="false" outlineLevel="0" collapsed="false">
      <c r="B126" s="19" t="s">
        <v>203</v>
      </c>
      <c r="C126" s="20" t="n">
        <v>200000</v>
      </c>
      <c r="D126" s="20" t="n">
        <v>200000</v>
      </c>
      <c r="E126" s="21" t="n">
        <f aca="false">IF(scenario="Upside",D126,C126)</f>
        <v>200000</v>
      </c>
      <c r="F126" s="22" t="s">
        <v>49</v>
      </c>
      <c r="G126" s="16" t="s">
        <v>204</v>
      </c>
    </row>
    <row r="127" customFormat="false" ht="15" hidden="false" customHeight="false" outlineLevel="0" collapsed="false">
      <c r="B127" s="19" t="s">
        <v>205</v>
      </c>
      <c r="C127" s="20" t="n">
        <v>100000</v>
      </c>
      <c r="D127" s="20" t="n">
        <v>100000</v>
      </c>
      <c r="E127" s="21" t="n">
        <f aca="false">IF(scenario="Upside",D127,C127)</f>
        <v>100000</v>
      </c>
      <c r="F127" s="22" t="s">
        <v>49</v>
      </c>
      <c r="G127" s="16" t="s">
        <v>204</v>
      </c>
    </row>
    <row r="128" customFormat="false" ht="15" hidden="false" customHeight="false" outlineLevel="0" collapsed="false">
      <c r="B128" s="19" t="s">
        <v>206</v>
      </c>
      <c r="C128" s="20" t="n">
        <v>50000</v>
      </c>
      <c r="D128" s="20" t="n">
        <v>50000</v>
      </c>
      <c r="E128" s="21" t="n">
        <f aca="false">IF(scenario="Upside",D128,C128)</f>
        <v>50000</v>
      </c>
      <c r="F128" s="22" t="s">
        <v>49</v>
      </c>
      <c r="G128" s="16" t="s">
        <v>207</v>
      </c>
    </row>
    <row r="129" customFormat="false" ht="15" hidden="false" customHeight="false" outlineLevel="0" collapsed="false">
      <c r="B129" s="19" t="s">
        <v>208</v>
      </c>
      <c r="C129" s="25" t="n">
        <v>6</v>
      </c>
      <c r="D129" s="25" t="n">
        <v>6</v>
      </c>
      <c r="E129" s="26" t="n">
        <f aca="false">IF(scenario="Upside",D129,C129)</f>
        <v>6</v>
      </c>
      <c r="F129" s="22" t="s">
        <v>176</v>
      </c>
      <c r="G129" s="16" t="s">
        <v>209</v>
      </c>
    </row>
    <row r="130" customFormat="false" ht="15" hidden="false" customHeight="false" outlineLevel="0" collapsed="false">
      <c r="B130" s="19" t="s">
        <v>210</v>
      </c>
      <c r="C130" s="25" t="n">
        <v>7</v>
      </c>
      <c r="D130" s="25" t="n">
        <v>7</v>
      </c>
      <c r="E130" s="26" t="n">
        <f aca="false">IF(scenario="Upside",D130,C130)</f>
        <v>7</v>
      </c>
      <c r="F130" s="22" t="s">
        <v>211</v>
      </c>
      <c r="G130" s="16" t="s">
        <v>37</v>
      </c>
    </row>
    <row r="131" customFormat="false" ht="15" hidden="false" customHeight="false" outlineLevel="0" collapsed="false">
      <c r="B131" s="19" t="s">
        <v>212</v>
      </c>
      <c r="C131" s="25" t="n">
        <v>10</v>
      </c>
      <c r="D131" s="25" t="n">
        <v>10</v>
      </c>
      <c r="E131" s="26" t="n">
        <f aca="false">IF(scenario="Upside",D131,C131)</f>
        <v>10</v>
      </c>
      <c r="F131" s="22" t="s">
        <v>211</v>
      </c>
      <c r="G131" s="16" t="s">
        <v>37</v>
      </c>
    </row>
    <row r="133" customFormat="false" ht="15" hidden="false" customHeight="false" outlineLevel="0" collapsed="false">
      <c r="B133" s="3" t="s">
        <v>213</v>
      </c>
      <c r="C133" s="18"/>
      <c r="D133" s="18"/>
      <c r="E133" s="18"/>
      <c r="F133" s="18"/>
      <c r="G133" s="18"/>
    </row>
    <row r="134" customFormat="false" ht="15" hidden="false" customHeight="false" outlineLevel="0" collapsed="false">
      <c r="B134" s="19" t="s">
        <v>214</v>
      </c>
      <c r="C134" s="23" t="n">
        <v>0.85</v>
      </c>
      <c r="D134" s="23" t="n">
        <v>0.85</v>
      </c>
      <c r="E134" s="24" t="n">
        <f aca="false">IF(scenario="Upside",D134,C134)</f>
        <v>0.85</v>
      </c>
      <c r="F134" s="22" t="s">
        <v>44</v>
      </c>
      <c r="G134" s="16" t="s">
        <v>215</v>
      </c>
    </row>
    <row r="135" customFormat="false" ht="15" hidden="false" customHeight="false" outlineLevel="0" collapsed="false">
      <c r="B135" s="19" t="s">
        <v>216</v>
      </c>
      <c r="C135" s="23" t="n">
        <v>0.05</v>
      </c>
      <c r="D135" s="23" t="n">
        <v>0.05</v>
      </c>
      <c r="E135" s="24" t="n">
        <f aca="false">IF(scenario="Upside",D135,C135)</f>
        <v>0.05</v>
      </c>
      <c r="F135" s="22" t="s">
        <v>44</v>
      </c>
      <c r="G135" s="16" t="s">
        <v>37</v>
      </c>
    </row>
    <row r="136" customFormat="false" ht="15" hidden="false" customHeight="false" outlineLevel="0" collapsed="false">
      <c r="B136" s="19" t="s">
        <v>217</v>
      </c>
      <c r="C136" s="23" t="n">
        <v>0.65</v>
      </c>
      <c r="D136" s="23" t="n">
        <v>0.65</v>
      </c>
      <c r="E136" s="24" t="n">
        <f aca="false">IF(scenario="Upside",D136,C136)</f>
        <v>0.65</v>
      </c>
      <c r="F136" s="22" t="s">
        <v>44</v>
      </c>
      <c r="G136" s="16" t="s">
        <v>37</v>
      </c>
    </row>
    <row r="137" customFormat="false" ht="15" hidden="false" customHeight="false" outlineLevel="0" collapsed="false">
      <c r="B137" s="19" t="s">
        <v>218</v>
      </c>
      <c r="C137" s="23" t="n">
        <v>0.03</v>
      </c>
      <c r="D137" s="23" t="n">
        <v>0.03</v>
      </c>
      <c r="E137" s="24" t="n">
        <f aca="false">IF(scenario="Upside",D137,C137)</f>
        <v>0.03</v>
      </c>
      <c r="F137" s="22" t="s">
        <v>44</v>
      </c>
      <c r="G137" s="16" t="s">
        <v>219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38" min="3" style="0" width="9"/>
  </cols>
  <sheetData>
    <row r="2" customFormat="false" ht="22.05" hidden="false" customHeight="false" outlineLevel="0" collapsed="false">
      <c r="B2" s="1" t="s">
        <v>220</v>
      </c>
    </row>
    <row r="3" customFormat="false" ht="32.8" hidden="false" customHeight="false" outlineLevel="0" collapsed="false">
      <c r="B3" s="16" t="s">
        <v>221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10" t="s">
        <v>259</v>
      </c>
      <c r="C7" s="9" t="n">
        <f aca="false">Drivers!$E$16</f>
        <v>20</v>
      </c>
      <c r="D7" s="9" t="n">
        <f aca="false">Drivers!$E$16+(2-1)/11*(Drivers!$E$17-Drivers!$E$16)</f>
        <v>27.2727272727273</v>
      </c>
      <c r="E7" s="9" t="n">
        <f aca="false">Drivers!$E$16+(3-1)/11*(Drivers!$E$17-Drivers!$E$16)</f>
        <v>34.5454545454546</v>
      </c>
      <c r="F7" s="9" t="n">
        <f aca="false">Drivers!$E$16+(4-1)/11*(Drivers!$E$17-Drivers!$E$16)</f>
        <v>41.8181818181818</v>
      </c>
      <c r="G7" s="9" t="n">
        <f aca="false">Drivers!$E$16+(5-1)/11*(Drivers!$E$17-Drivers!$E$16)</f>
        <v>49.0909090909091</v>
      </c>
      <c r="H7" s="9" t="n">
        <f aca="false">Drivers!$E$16+(6-1)/11*(Drivers!$E$17-Drivers!$E$16)</f>
        <v>56.3636363636364</v>
      </c>
      <c r="I7" s="9" t="n">
        <f aca="false">Drivers!$E$16+(7-1)/11*(Drivers!$E$17-Drivers!$E$16)</f>
        <v>63.6363636363636</v>
      </c>
      <c r="J7" s="9" t="n">
        <f aca="false">Drivers!$E$16+(8-1)/11*(Drivers!$E$17-Drivers!$E$16)</f>
        <v>70.9090909090909</v>
      </c>
      <c r="K7" s="9" t="n">
        <f aca="false">Drivers!$E$16+(9-1)/11*(Drivers!$E$17-Drivers!$E$16)</f>
        <v>78.1818181818182</v>
      </c>
      <c r="L7" s="9" t="n">
        <f aca="false">Drivers!$E$16+(10-1)/11*(Drivers!$E$17-Drivers!$E$16)</f>
        <v>85.4545454545455</v>
      </c>
      <c r="M7" s="9" t="n">
        <f aca="false">Drivers!$E$16+(11-1)/11*(Drivers!$E$17-Drivers!$E$16)</f>
        <v>92.7272727272727</v>
      </c>
      <c r="N7" s="9" t="n">
        <f aca="false">Drivers!$E$16+(12-1)/11*(Drivers!$E$17-Drivers!$E$16)</f>
        <v>100</v>
      </c>
      <c r="O7" s="9" t="n">
        <f aca="false">Drivers!$E$17+(13-12)/12*(Drivers!$E$18-Drivers!$E$17)</f>
        <v>112.5</v>
      </c>
      <c r="P7" s="9" t="n">
        <f aca="false">Drivers!$E$17+(14-12)/12*(Drivers!$E$18-Drivers!$E$17)</f>
        <v>125</v>
      </c>
      <c r="Q7" s="9" t="n">
        <f aca="false">Drivers!$E$17+(15-12)/12*(Drivers!$E$18-Drivers!$E$17)</f>
        <v>137.5</v>
      </c>
      <c r="R7" s="9" t="n">
        <f aca="false">Drivers!$E$17+(16-12)/12*(Drivers!$E$18-Drivers!$E$17)</f>
        <v>150</v>
      </c>
      <c r="S7" s="9" t="n">
        <f aca="false">Drivers!$E$17+(17-12)/12*(Drivers!$E$18-Drivers!$E$17)</f>
        <v>162.5</v>
      </c>
      <c r="T7" s="9" t="n">
        <f aca="false">Drivers!$E$17+(18-12)/12*(Drivers!$E$18-Drivers!$E$17)</f>
        <v>175</v>
      </c>
      <c r="U7" s="9" t="n">
        <f aca="false">Drivers!$E$17+(19-12)/12*(Drivers!$E$18-Drivers!$E$17)</f>
        <v>187.5</v>
      </c>
      <c r="V7" s="9" t="n">
        <f aca="false">Drivers!$E$17+(20-12)/12*(Drivers!$E$18-Drivers!$E$17)</f>
        <v>200</v>
      </c>
      <c r="W7" s="9" t="n">
        <f aca="false">Drivers!$E$17+(21-12)/12*(Drivers!$E$18-Drivers!$E$17)</f>
        <v>212.5</v>
      </c>
      <c r="X7" s="9" t="n">
        <f aca="false">Drivers!$E$17+(22-12)/12*(Drivers!$E$18-Drivers!$E$17)</f>
        <v>225</v>
      </c>
      <c r="Y7" s="9" t="n">
        <f aca="false">Drivers!$E$17+(23-12)/12*(Drivers!$E$18-Drivers!$E$17)</f>
        <v>237.5</v>
      </c>
      <c r="Z7" s="9" t="n">
        <f aca="false">Drivers!$E$17+(24-12)/12*(Drivers!$E$18-Drivers!$E$17)</f>
        <v>250</v>
      </c>
      <c r="AA7" s="9" t="n">
        <f aca="false">Drivers!$E$18+(25-24)/12*(Drivers!$E$19-Drivers!$E$18)</f>
        <v>270.833333333333</v>
      </c>
      <c r="AB7" s="9" t="n">
        <f aca="false">Drivers!$E$18+(26-24)/12*(Drivers!$E$19-Drivers!$E$18)</f>
        <v>291.666666666667</v>
      </c>
      <c r="AC7" s="9" t="n">
        <f aca="false">Drivers!$E$18+(27-24)/12*(Drivers!$E$19-Drivers!$E$18)</f>
        <v>312.5</v>
      </c>
      <c r="AD7" s="9" t="n">
        <f aca="false">Drivers!$E$18+(28-24)/12*(Drivers!$E$19-Drivers!$E$18)</f>
        <v>333.333333333333</v>
      </c>
      <c r="AE7" s="9" t="n">
        <f aca="false">Drivers!$E$18+(29-24)/12*(Drivers!$E$19-Drivers!$E$18)</f>
        <v>354.166666666667</v>
      </c>
      <c r="AF7" s="9" t="n">
        <f aca="false">Drivers!$E$18+(30-24)/12*(Drivers!$E$19-Drivers!$E$18)</f>
        <v>375</v>
      </c>
      <c r="AG7" s="9" t="n">
        <f aca="false">Drivers!$E$18+(31-24)/12*(Drivers!$E$19-Drivers!$E$18)</f>
        <v>395.833333333333</v>
      </c>
      <c r="AH7" s="9" t="n">
        <f aca="false">Drivers!$E$18+(32-24)/12*(Drivers!$E$19-Drivers!$E$18)</f>
        <v>416.666666666667</v>
      </c>
      <c r="AI7" s="9" t="n">
        <f aca="false">Drivers!$E$18+(33-24)/12*(Drivers!$E$19-Drivers!$E$18)</f>
        <v>437.5</v>
      </c>
      <c r="AJ7" s="9" t="n">
        <f aca="false">Drivers!$E$18+(34-24)/12*(Drivers!$E$19-Drivers!$E$18)</f>
        <v>458.333333333333</v>
      </c>
      <c r="AK7" s="9" t="n">
        <f aca="false">Drivers!$E$18+(35-24)/12*(Drivers!$E$19-Drivers!$E$18)</f>
        <v>479.166666666667</v>
      </c>
      <c r="AL7" s="9" t="n">
        <f aca="false">Drivers!$E$18+(36-24)/12*(Drivers!$E$19-Drivers!$E$18)</f>
        <v>500</v>
      </c>
    </row>
    <row r="8" customFormat="false" ht="15" hidden="false" customHeight="false" outlineLevel="0" collapsed="false">
      <c r="B8" s="8" t="s">
        <v>260</v>
      </c>
      <c r="C8" s="26" t="n">
        <f aca="false">(C7+Drivers!$E$16)/2</f>
        <v>20</v>
      </c>
      <c r="D8" s="26" t="n">
        <f aca="false">(C7+D7)/2</f>
        <v>23.6363636363636</v>
      </c>
      <c r="E8" s="26" t="n">
        <f aca="false">(D7+E7)/2</f>
        <v>30.9090909090909</v>
      </c>
      <c r="F8" s="26" t="n">
        <f aca="false">(E7+F7)/2</f>
        <v>38.1818181818182</v>
      </c>
      <c r="G8" s="26" t="n">
        <f aca="false">(F7+G7)/2</f>
        <v>45.4545454545455</v>
      </c>
      <c r="H8" s="26" t="n">
        <f aca="false">(G7+H7)/2</f>
        <v>52.7272727272727</v>
      </c>
      <c r="I8" s="26" t="n">
        <f aca="false">(H7+I7)/2</f>
        <v>60</v>
      </c>
      <c r="J8" s="26" t="n">
        <f aca="false">(I7+J7)/2</f>
        <v>67.2727272727273</v>
      </c>
      <c r="K8" s="26" t="n">
        <f aca="false">(J7+K7)/2</f>
        <v>74.5454545454546</v>
      </c>
      <c r="L8" s="26" t="n">
        <f aca="false">(K7+L7)/2</f>
        <v>81.8181818181818</v>
      </c>
      <c r="M8" s="26" t="n">
        <f aca="false">(L7+M7)/2</f>
        <v>89.0909090909091</v>
      </c>
      <c r="N8" s="26" t="n">
        <f aca="false">(M7+N7)/2</f>
        <v>96.3636363636364</v>
      </c>
      <c r="O8" s="26" t="n">
        <f aca="false">(N7+O7)/2</f>
        <v>106.25</v>
      </c>
      <c r="P8" s="26" t="n">
        <f aca="false">(O7+P7)/2</f>
        <v>118.75</v>
      </c>
      <c r="Q8" s="26" t="n">
        <f aca="false">(P7+Q7)/2</f>
        <v>131.25</v>
      </c>
      <c r="R8" s="26" t="n">
        <f aca="false">(Q7+R7)/2</f>
        <v>143.75</v>
      </c>
      <c r="S8" s="26" t="n">
        <f aca="false">(R7+S7)/2</f>
        <v>156.25</v>
      </c>
      <c r="T8" s="26" t="n">
        <f aca="false">(S7+T7)/2</f>
        <v>168.75</v>
      </c>
      <c r="U8" s="26" t="n">
        <f aca="false">(T7+U7)/2</f>
        <v>181.25</v>
      </c>
      <c r="V8" s="26" t="n">
        <f aca="false">(U7+V7)/2</f>
        <v>193.75</v>
      </c>
      <c r="W8" s="26" t="n">
        <f aca="false">(V7+W7)/2</f>
        <v>206.25</v>
      </c>
      <c r="X8" s="26" t="n">
        <f aca="false">(W7+X7)/2</f>
        <v>218.75</v>
      </c>
      <c r="Y8" s="26" t="n">
        <f aca="false">(X7+Y7)/2</f>
        <v>231.25</v>
      </c>
      <c r="Z8" s="26" t="n">
        <f aca="false">(Y7+Z7)/2</f>
        <v>243.75</v>
      </c>
      <c r="AA8" s="26" t="n">
        <f aca="false">(Z7+AA7)/2</f>
        <v>260.416666666667</v>
      </c>
      <c r="AB8" s="26" t="n">
        <f aca="false">(AA7+AB7)/2</f>
        <v>281.25</v>
      </c>
      <c r="AC8" s="26" t="n">
        <f aca="false">(AB7+AC7)/2</f>
        <v>302.083333333333</v>
      </c>
      <c r="AD8" s="26" t="n">
        <f aca="false">(AC7+AD7)/2</f>
        <v>322.916666666667</v>
      </c>
      <c r="AE8" s="26" t="n">
        <f aca="false">(AD7+AE7)/2</f>
        <v>343.75</v>
      </c>
      <c r="AF8" s="26" t="n">
        <f aca="false">(AE7+AF7)/2</f>
        <v>364.583333333333</v>
      </c>
      <c r="AG8" s="26" t="n">
        <f aca="false">(AF7+AG7)/2</f>
        <v>385.416666666667</v>
      </c>
      <c r="AH8" s="26" t="n">
        <f aca="false">(AG7+AH7)/2</f>
        <v>406.25</v>
      </c>
      <c r="AI8" s="26" t="n">
        <f aca="false">(AH7+AI7)/2</f>
        <v>427.083333333333</v>
      </c>
      <c r="AJ8" s="26" t="n">
        <f aca="false">(AI7+AJ7)/2</f>
        <v>447.916666666667</v>
      </c>
      <c r="AK8" s="26" t="n">
        <f aca="false">(AJ7+AK7)/2</f>
        <v>468.75</v>
      </c>
      <c r="AL8" s="26" t="n">
        <f aca="false">(AK7+AL7)/2</f>
        <v>489.583333333333</v>
      </c>
    </row>
    <row r="9" customFormat="false" ht="15" hidden="false" customHeight="false" outlineLevel="0" collapsed="false">
      <c r="B9" s="8" t="s">
        <v>261</v>
      </c>
      <c r="C9" s="13" t="n">
        <f aca="false">1-(1-Drivers!$E$20)^(1/12)</f>
        <v>0.0134519470118689</v>
      </c>
      <c r="D9" s="13" t="n">
        <f aca="false">1-(1-Drivers!$E$20)^(1/12)</f>
        <v>0.0134519470118689</v>
      </c>
      <c r="E9" s="13" t="n">
        <f aca="false">1-(1-Drivers!$E$20)^(1/12)</f>
        <v>0.0134519470118689</v>
      </c>
      <c r="F9" s="13" t="n">
        <f aca="false">1-(1-Drivers!$E$20)^(1/12)</f>
        <v>0.0134519470118689</v>
      </c>
      <c r="G9" s="13" t="n">
        <f aca="false">1-(1-Drivers!$E$20)^(1/12)</f>
        <v>0.0134519470118689</v>
      </c>
      <c r="H9" s="13" t="n">
        <f aca="false">1-(1-Drivers!$E$20)^(1/12)</f>
        <v>0.0134519470118689</v>
      </c>
      <c r="I9" s="13" t="n">
        <f aca="false">1-(1-Drivers!$E$20)^(1/12)</f>
        <v>0.0134519470118689</v>
      </c>
      <c r="J9" s="13" t="n">
        <f aca="false">1-(1-Drivers!$E$20)^(1/12)</f>
        <v>0.0134519470118689</v>
      </c>
      <c r="K9" s="13" t="n">
        <f aca="false">1-(1-Drivers!$E$20)^(1/12)</f>
        <v>0.0134519470118689</v>
      </c>
      <c r="L9" s="13" t="n">
        <f aca="false">1-(1-Drivers!$E$20)^(1/12)</f>
        <v>0.0134519470118689</v>
      </c>
      <c r="M9" s="13" t="n">
        <f aca="false">1-(1-Drivers!$E$20)^(1/12)</f>
        <v>0.0134519470118689</v>
      </c>
      <c r="N9" s="13" t="n">
        <f aca="false">1-(1-Drivers!$E$20)^(1/12)</f>
        <v>0.0134519470118689</v>
      </c>
      <c r="O9" s="13" t="n">
        <f aca="false">1-(1-Drivers!$E$20)^(1/12)</f>
        <v>0.0134519470118689</v>
      </c>
      <c r="P9" s="13" t="n">
        <f aca="false">1-(1-Drivers!$E$20)^(1/12)</f>
        <v>0.0134519470118689</v>
      </c>
      <c r="Q9" s="13" t="n">
        <f aca="false">1-(1-Drivers!$E$20)^(1/12)</f>
        <v>0.0134519470118689</v>
      </c>
      <c r="R9" s="13" t="n">
        <f aca="false">1-(1-Drivers!$E$20)^(1/12)</f>
        <v>0.0134519470118689</v>
      </c>
      <c r="S9" s="13" t="n">
        <f aca="false">1-(1-Drivers!$E$20)^(1/12)</f>
        <v>0.0134519470118689</v>
      </c>
      <c r="T9" s="13" t="n">
        <f aca="false">1-(1-Drivers!$E$20)^(1/12)</f>
        <v>0.0134519470118689</v>
      </c>
      <c r="U9" s="13" t="n">
        <f aca="false">1-(1-Drivers!$E$20)^(1/12)</f>
        <v>0.0134519470118689</v>
      </c>
      <c r="V9" s="13" t="n">
        <f aca="false">1-(1-Drivers!$E$20)^(1/12)</f>
        <v>0.0134519470118689</v>
      </c>
      <c r="W9" s="13" t="n">
        <f aca="false">1-(1-Drivers!$E$20)^(1/12)</f>
        <v>0.0134519470118689</v>
      </c>
      <c r="X9" s="13" t="n">
        <f aca="false">1-(1-Drivers!$E$20)^(1/12)</f>
        <v>0.0134519470118689</v>
      </c>
      <c r="Y9" s="13" t="n">
        <f aca="false">1-(1-Drivers!$E$20)^(1/12)</f>
        <v>0.0134519470118689</v>
      </c>
      <c r="Z9" s="13" t="n">
        <f aca="false">1-(1-Drivers!$E$20)^(1/12)</f>
        <v>0.0134519470118689</v>
      </c>
      <c r="AA9" s="13" t="n">
        <f aca="false">1-(1-Drivers!$E$20)^(1/12)</f>
        <v>0.0134519470118689</v>
      </c>
      <c r="AB9" s="13" t="n">
        <f aca="false">1-(1-Drivers!$E$20)^(1/12)</f>
        <v>0.0134519470118689</v>
      </c>
      <c r="AC9" s="13" t="n">
        <f aca="false">1-(1-Drivers!$E$20)^(1/12)</f>
        <v>0.0134519470118689</v>
      </c>
      <c r="AD9" s="13" t="n">
        <f aca="false">1-(1-Drivers!$E$20)^(1/12)</f>
        <v>0.0134519470118689</v>
      </c>
      <c r="AE9" s="13" t="n">
        <f aca="false">1-(1-Drivers!$E$20)^(1/12)</f>
        <v>0.0134519470118689</v>
      </c>
      <c r="AF9" s="13" t="n">
        <f aca="false">1-(1-Drivers!$E$20)^(1/12)</f>
        <v>0.0134519470118689</v>
      </c>
      <c r="AG9" s="13" t="n">
        <f aca="false">1-(1-Drivers!$E$20)^(1/12)</f>
        <v>0.0134519470118689</v>
      </c>
      <c r="AH9" s="13" t="n">
        <f aca="false">1-(1-Drivers!$E$20)^(1/12)</f>
        <v>0.0134519470118689</v>
      </c>
      <c r="AI9" s="13" t="n">
        <f aca="false">1-(1-Drivers!$E$20)^(1/12)</f>
        <v>0.0134519470118689</v>
      </c>
      <c r="AJ9" s="13" t="n">
        <f aca="false">1-(1-Drivers!$E$20)^(1/12)</f>
        <v>0.0134519470118689</v>
      </c>
      <c r="AK9" s="13" t="n">
        <f aca="false">1-(1-Drivers!$E$20)^(1/12)</f>
        <v>0.0134519470118689</v>
      </c>
      <c r="AL9" s="13" t="n">
        <f aca="false">1-(1-Drivers!$E$20)^(1/12)</f>
        <v>0.0134519470118689</v>
      </c>
    </row>
    <row r="10" customFormat="false" ht="15" hidden="false" customHeight="false" outlineLevel="0" collapsed="false">
      <c r="B10" s="8" t="s">
        <v>262</v>
      </c>
      <c r="C10" s="26" t="n">
        <f aca="false">C8*C9</f>
        <v>0.269038940237378</v>
      </c>
      <c r="D10" s="26" t="n">
        <f aca="false">D8*D9</f>
        <v>0.317955111189629</v>
      </c>
      <c r="E10" s="26" t="n">
        <f aca="false">E8*E9</f>
        <v>0.41578745309413</v>
      </c>
      <c r="F10" s="26" t="n">
        <f aca="false">F8*F9</f>
        <v>0.513619794998631</v>
      </c>
      <c r="G10" s="26" t="n">
        <f aca="false">G8*G9</f>
        <v>0.611452136903133</v>
      </c>
      <c r="H10" s="26" t="n">
        <f aca="false">H8*H9</f>
        <v>0.709284478807634</v>
      </c>
      <c r="I10" s="26" t="n">
        <f aca="false">I8*I9</f>
        <v>0.807116820712135</v>
      </c>
      <c r="J10" s="26" t="n">
        <f aca="false">J8*J9</f>
        <v>0.904949162616636</v>
      </c>
      <c r="K10" s="26" t="n">
        <f aca="false">K8*K9</f>
        <v>1.00278150452114</v>
      </c>
      <c r="L10" s="26" t="n">
        <f aca="false">L8*L9</f>
        <v>1.10061384642564</v>
      </c>
      <c r="M10" s="26" t="n">
        <f aca="false">M8*M9</f>
        <v>1.19844618833014</v>
      </c>
      <c r="N10" s="26" t="n">
        <f aca="false">N8*N9</f>
        <v>1.29627853023464</v>
      </c>
      <c r="O10" s="26" t="n">
        <f aca="false">O8*O9</f>
        <v>1.42926937001107</v>
      </c>
      <c r="P10" s="26" t="n">
        <f aca="false">P8*P9</f>
        <v>1.59741870765943</v>
      </c>
      <c r="Q10" s="26" t="n">
        <f aca="false">Q8*Q9</f>
        <v>1.7655680453078</v>
      </c>
      <c r="R10" s="26" t="n">
        <f aca="false">R8*R9</f>
        <v>1.93371738295616</v>
      </c>
      <c r="S10" s="26" t="n">
        <f aca="false">S8*S9</f>
        <v>2.10186672060452</v>
      </c>
      <c r="T10" s="26" t="n">
        <f aca="false">T8*T9</f>
        <v>2.27001605825288</v>
      </c>
      <c r="U10" s="26" t="n">
        <f aca="false">U8*U9</f>
        <v>2.43816539590124</v>
      </c>
      <c r="V10" s="26" t="n">
        <f aca="false">V8*V9</f>
        <v>2.6063147335496</v>
      </c>
      <c r="W10" s="26" t="n">
        <f aca="false">W8*W9</f>
        <v>2.77446407119796</v>
      </c>
      <c r="X10" s="26" t="n">
        <f aca="false">X8*X9</f>
        <v>2.94261340884633</v>
      </c>
      <c r="Y10" s="26" t="n">
        <f aca="false">Y8*Y9</f>
        <v>3.11076274649469</v>
      </c>
      <c r="Z10" s="26" t="n">
        <f aca="false">Z8*Z9</f>
        <v>3.27891208414305</v>
      </c>
      <c r="AA10" s="26" t="n">
        <f aca="false">AA8*AA9</f>
        <v>3.50311120100753</v>
      </c>
      <c r="AB10" s="26" t="n">
        <f aca="false">AB8*AB9</f>
        <v>3.78336009708813</v>
      </c>
      <c r="AC10" s="26" t="n">
        <f aca="false">AC8*AC9</f>
        <v>4.06360899316874</v>
      </c>
      <c r="AD10" s="26" t="n">
        <f aca="false">AD8*AD9</f>
        <v>4.34385788924934</v>
      </c>
      <c r="AE10" s="26" t="n">
        <f aca="false">AE8*AE9</f>
        <v>4.62410678532994</v>
      </c>
      <c r="AF10" s="26" t="n">
        <f aca="false">AF8*AF9</f>
        <v>4.90435568141054</v>
      </c>
      <c r="AG10" s="26" t="n">
        <f aca="false">AG8*AG9</f>
        <v>5.18460457749114</v>
      </c>
      <c r="AH10" s="26" t="n">
        <f aca="false">AH8*AH9</f>
        <v>5.46485347357175</v>
      </c>
      <c r="AI10" s="26" t="n">
        <f aca="false">AI8*AI9</f>
        <v>5.74510236965235</v>
      </c>
      <c r="AJ10" s="26" t="n">
        <f aca="false">AJ8*AJ9</f>
        <v>6.02535126573295</v>
      </c>
      <c r="AK10" s="26" t="n">
        <f aca="false">AK8*AK9</f>
        <v>6.30560016181355</v>
      </c>
      <c r="AL10" s="26" t="n">
        <f aca="false">AL8*AL9</f>
        <v>6.58584905789416</v>
      </c>
    </row>
    <row r="11" customFormat="false" ht="15" hidden="false" customHeight="false" outlineLevel="0" collapsed="false">
      <c r="B11" s="8" t="s">
        <v>263</v>
      </c>
      <c r="C11" s="26" t="n">
        <f aca="false">C7-Drivers!$E$16</f>
        <v>0</v>
      </c>
      <c r="D11" s="26" t="n">
        <f aca="false">D7-C7</f>
        <v>7.27272727272727</v>
      </c>
      <c r="E11" s="26" t="n">
        <f aca="false">E7-D7</f>
        <v>7.27272727272727</v>
      </c>
      <c r="F11" s="26" t="n">
        <f aca="false">F7-E7</f>
        <v>7.27272727272727</v>
      </c>
      <c r="G11" s="26" t="n">
        <f aca="false">G7-F7</f>
        <v>7.27272727272728</v>
      </c>
      <c r="H11" s="26" t="n">
        <f aca="false">H7-G7</f>
        <v>7.27272727272727</v>
      </c>
      <c r="I11" s="26" t="n">
        <f aca="false">I7-H7</f>
        <v>7.27272727272727</v>
      </c>
      <c r="J11" s="26" t="n">
        <f aca="false">J7-I7</f>
        <v>7.27272727272727</v>
      </c>
      <c r="K11" s="26" t="n">
        <f aca="false">K7-J7</f>
        <v>7.27272727272728</v>
      </c>
      <c r="L11" s="26" t="n">
        <f aca="false">L7-K7</f>
        <v>7.27272727272727</v>
      </c>
      <c r="M11" s="26" t="n">
        <f aca="false">M7-L7</f>
        <v>7.27272727272727</v>
      </c>
      <c r="N11" s="26" t="n">
        <f aca="false">N7-M7</f>
        <v>7.27272727272728</v>
      </c>
      <c r="O11" s="26" t="n">
        <f aca="false">O7-N7</f>
        <v>12.5</v>
      </c>
      <c r="P11" s="26" t="n">
        <f aca="false">P7-O7</f>
        <v>12.5</v>
      </c>
      <c r="Q11" s="26" t="n">
        <f aca="false">Q7-P7</f>
        <v>12.5</v>
      </c>
      <c r="R11" s="26" t="n">
        <f aca="false">R7-Q7</f>
        <v>12.5</v>
      </c>
      <c r="S11" s="26" t="n">
        <f aca="false">S7-R7</f>
        <v>12.5</v>
      </c>
      <c r="T11" s="26" t="n">
        <f aca="false">T7-S7</f>
        <v>12.5</v>
      </c>
      <c r="U11" s="26" t="n">
        <f aca="false">U7-T7</f>
        <v>12.5</v>
      </c>
      <c r="V11" s="26" t="n">
        <f aca="false">V7-U7</f>
        <v>12.5</v>
      </c>
      <c r="W11" s="26" t="n">
        <f aca="false">W7-V7</f>
        <v>12.5</v>
      </c>
      <c r="X11" s="26" t="n">
        <f aca="false">X7-W7</f>
        <v>12.5</v>
      </c>
      <c r="Y11" s="26" t="n">
        <f aca="false">Y7-X7</f>
        <v>12.5</v>
      </c>
      <c r="Z11" s="26" t="n">
        <f aca="false">Z7-Y7</f>
        <v>12.5</v>
      </c>
      <c r="AA11" s="26" t="n">
        <f aca="false">AA7-Z7</f>
        <v>20.8333333333333</v>
      </c>
      <c r="AB11" s="26" t="n">
        <f aca="false">AB7-AA7</f>
        <v>20.8333333333334</v>
      </c>
      <c r="AC11" s="26" t="n">
        <f aca="false">AC7-AB7</f>
        <v>20.8333333333333</v>
      </c>
      <c r="AD11" s="26" t="n">
        <f aca="false">AD7-AC7</f>
        <v>20.8333333333333</v>
      </c>
      <c r="AE11" s="26" t="n">
        <f aca="false">AE7-AD7</f>
        <v>20.8333333333334</v>
      </c>
      <c r="AF11" s="26" t="n">
        <f aca="false">AF7-AE7</f>
        <v>20.8333333333333</v>
      </c>
      <c r="AG11" s="26" t="n">
        <f aca="false">AG7-AF7</f>
        <v>20.8333333333334</v>
      </c>
      <c r="AH11" s="26" t="n">
        <f aca="false">AH7-AG7</f>
        <v>20.8333333333333</v>
      </c>
      <c r="AI11" s="26" t="n">
        <f aca="false">AI7-AH7</f>
        <v>20.8333333333334</v>
      </c>
      <c r="AJ11" s="26" t="n">
        <f aca="false">AJ7-AI7</f>
        <v>20.8333333333334</v>
      </c>
      <c r="AK11" s="26" t="n">
        <f aca="false">AK7-AJ7</f>
        <v>20.8333333333333</v>
      </c>
      <c r="AL11" s="26" t="n">
        <f aca="false">AL7-AK7</f>
        <v>20.8333333333334</v>
      </c>
    </row>
    <row r="12" customFormat="false" ht="15" hidden="false" customHeight="false" outlineLevel="0" collapsed="false">
      <c r="B12" s="10" t="s">
        <v>264</v>
      </c>
      <c r="C12" s="26" t="n">
        <f aca="false">MAX(0,C11+C10)</f>
        <v>0.269038940237378</v>
      </c>
      <c r="D12" s="26" t="n">
        <f aca="false">MAX(0,D11+D10)</f>
        <v>7.5906823839169</v>
      </c>
      <c r="E12" s="26" t="n">
        <f aca="false">MAX(0,E11+E10)</f>
        <v>7.6885147258214</v>
      </c>
      <c r="F12" s="26" t="n">
        <f aca="false">MAX(0,F11+F10)</f>
        <v>7.7863470677259</v>
      </c>
      <c r="G12" s="26" t="n">
        <f aca="false">MAX(0,G11+G10)</f>
        <v>7.88417940963041</v>
      </c>
      <c r="H12" s="26" t="n">
        <f aca="false">MAX(0,H11+H10)</f>
        <v>7.9820117515349</v>
      </c>
      <c r="I12" s="26" t="n">
        <f aca="false">MAX(0,I11+I10)</f>
        <v>8.07984409343941</v>
      </c>
      <c r="J12" s="26" t="n">
        <f aca="false">MAX(0,J11+J10)</f>
        <v>8.17767643534391</v>
      </c>
      <c r="K12" s="26" t="n">
        <f aca="false">MAX(0,K11+K10)</f>
        <v>8.27550877724842</v>
      </c>
      <c r="L12" s="26" t="n">
        <f aca="false">MAX(0,L11+L10)</f>
        <v>8.3733411191529</v>
      </c>
      <c r="M12" s="26" t="n">
        <f aca="false">MAX(0,M11+M10)</f>
        <v>8.47117346105741</v>
      </c>
      <c r="N12" s="26" t="n">
        <f aca="false">MAX(0,N11+N10)</f>
        <v>8.56900580296192</v>
      </c>
      <c r="O12" s="26" t="n">
        <f aca="false">MAX(0,O11+O10)</f>
        <v>13.9292693700111</v>
      </c>
      <c r="P12" s="26" t="n">
        <f aca="false">MAX(0,P11+P10)</f>
        <v>14.0974187076594</v>
      </c>
      <c r="Q12" s="26" t="n">
        <f aca="false">MAX(0,Q11+Q10)</f>
        <v>14.2655680453078</v>
      </c>
      <c r="R12" s="26" t="n">
        <f aca="false">MAX(0,R11+R10)</f>
        <v>14.4337173829562</v>
      </c>
      <c r="S12" s="26" t="n">
        <f aca="false">MAX(0,S11+S10)</f>
        <v>14.6018667206045</v>
      </c>
      <c r="T12" s="26" t="n">
        <f aca="false">MAX(0,T11+T10)</f>
        <v>14.7700160582529</v>
      </c>
      <c r="U12" s="26" t="n">
        <f aca="false">MAX(0,U11+U10)</f>
        <v>14.9381653959012</v>
      </c>
      <c r="V12" s="26" t="n">
        <f aca="false">MAX(0,V11+V10)</f>
        <v>15.1063147335496</v>
      </c>
      <c r="W12" s="26" t="n">
        <f aca="false">MAX(0,W11+W10)</f>
        <v>15.274464071198</v>
      </c>
      <c r="X12" s="26" t="n">
        <f aca="false">MAX(0,X11+X10)</f>
        <v>15.4426134088463</v>
      </c>
      <c r="Y12" s="26" t="n">
        <f aca="false">MAX(0,Y11+Y10)</f>
        <v>15.6107627464947</v>
      </c>
      <c r="Z12" s="26" t="n">
        <f aca="false">MAX(0,Z11+Z10)</f>
        <v>15.778912084143</v>
      </c>
      <c r="AA12" s="26" t="n">
        <f aca="false">MAX(0,AA11+AA10)</f>
        <v>24.3364445343408</v>
      </c>
      <c r="AB12" s="26" t="n">
        <f aca="false">MAX(0,AB11+AB10)</f>
        <v>24.6166934304215</v>
      </c>
      <c r="AC12" s="26" t="n">
        <f aca="false">MAX(0,AC11+AC10)</f>
        <v>24.8969423265021</v>
      </c>
      <c r="AD12" s="26" t="n">
        <f aca="false">MAX(0,AD11+AD10)</f>
        <v>25.1771912225827</v>
      </c>
      <c r="AE12" s="26" t="n">
        <f aca="false">MAX(0,AE11+AE10)</f>
        <v>25.4574401186633</v>
      </c>
      <c r="AF12" s="26" t="n">
        <f aca="false">MAX(0,AF11+AF10)</f>
        <v>25.7376890147439</v>
      </c>
      <c r="AG12" s="26" t="n">
        <f aca="false">MAX(0,AG11+AG10)</f>
        <v>26.0179379108245</v>
      </c>
      <c r="AH12" s="26" t="n">
        <f aca="false">MAX(0,AH11+AH10)</f>
        <v>26.298186806905</v>
      </c>
      <c r="AI12" s="26" t="n">
        <f aca="false">MAX(0,AI11+AI10)</f>
        <v>26.5784357029857</v>
      </c>
      <c r="AJ12" s="26" t="n">
        <f aca="false">MAX(0,AJ11+AJ10)</f>
        <v>26.8586845990663</v>
      </c>
      <c r="AK12" s="26" t="n">
        <f aca="false">MAX(0,AK11+AK10)</f>
        <v>27.1389334951468</v>
      </c>
      <c r="AL12" s="26" t="n">
        <f aca="false">MAX(0,AL11+AL10)</f>
        <v>27.4191823912275</v>
      </c>
    </row>
    <row r="14" customFormat="false" ht="15" hidden="false" customHeight="false" outlineLevel="0" collapsed="false">
      <c r="B14" s="3" t="s">
        <v>69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customFormat="false" ht="15" hidden="false" customHeight="false" outlineLevel="0" collapsed="false">
      <c r="B15" s="10" t="s">
        <v>265</v>
      </c>
      <c r="C15" s="9" t="n">
        <f aca="false">Drivers!$E$28</f>
        <v>50</v>
      </c>
      <c r="D15" s="9" t="n">
        <f aca="false">Drivers!$E$28+(2-1)/11*(Drivers!$E$29-Drivers!$E$28)</f>
        <v>136.363636363636</v>
      </c>
      <c r="E15" s="9" t="n">
        <f aca="false">Drivers!$E$28+(3-1)/11*(Drivers!$E$29-Drivers!$E$28)</f>
        <v>222.727272727273</v>
      </c>
      <c r="F15" s="9" t="n">
        <f aca="false">Drivers!$E$28+(4-1)/11*(Drivers!$E$29-Drivers!$E$28)</f>
        <v>309.090909090909</v>
      </c>
      <c r="G15" s="9" t="n">
        <f aca="false">Drivers!$E$28+(5-1)/11*(Drivers!$E$29-Drivers!$E$28)</f>
        <v>395.454545454545</v>
      </c>
      <c r="H15" s="9" t="n">
        <f aca="false">Drivers!$E$28+(6-1)/11*(Drivers!$E$29-Drivers!$E$28)</f>
        <v>481.818181818182</v>
      </c>
      <c r="I15" s="9" t="n">
        <f aca="false">Drivers!$E$28+(7-1)/11*(Drivers!$E$29-Drivers!$E$28)</f>
        <v>568.181818181818</v>
      </c>
      <c r="J15" s="9" t="n">
        <f aca="false">Drivers!$E$28+(8-1)/11*(Drivers!$E$29-Drivers!$E$28)</f>
        <v>654.545454545455</v>
      </c>
      <c r="K15" s="9" t="n">
        <f aca="false">Drivers!$E$28+(9-1)/11*(Drivers!$E$29-Drivers!$E$28)</f>
        <v>740.909090909091</v>
      </c>
      <c r="L15" s="9" t="n">
        <f aca="false">Drivers!$E$28+(10-1)/11*(Drivers!$E$29-Drivers!$E$28)</f>
        <v>827.272727272727</v>
      </c>
      <c r="M15" s="9" t="n">
        <f aca="false">Drivers!$E$28+(11-1)/11*(Drivers!$E$29-Drivers!$E$28)</f>
        <v>913.636363636364</v>
      </c>
      <c r="N15" s="9" t="n">
        <f aca="false">Drivers!$E$28+(12-1)/11*(Drivers!$E$29-Drivers!$E$28)</f>
        <v>1000</v>
      </c>
      <c r="O15" s="9" t="n">
        <f aca="false">Drivers!$E$29+(13-12)/12*(Drivers!$E$30-Drivers!$E$29)</f>
        <v>1166.66666666667</v>
      </c>
      <c r="P15" s="9" t="n">
        <f aca="false">Drivers!$E$29+(14-12)/12*(Drivers!$E$30-Drivers!$E$29)</f>
        <v>1333.33333333333</v>
      </c>
      <c r="Q15" s="9" t="n">
        <f aca="false">Drivers!$E$29+(15-12)/12*(Drivers!$E$30-Drivers!$E$29)</f>
        <v>1500</v>
      </c>
      <c r="R15" s="9" t="n">
        <f aca="false">Drivers!$E$29+(16-12)/12*(Drivers!$E$30-Drivers!$E$29)</f>
        <v>1666.66666666667</v>
      </c>
      <c r="S15" s="9" t="n">
        <f aca="false">Drivers!$E$29+(17-12)/12*(Drivers!$E$30-Drivers!$E$29)</f>
        <v>1833.33333333333</v>
      </c>
      <c r="T15" s="9" t="n">
        <f aca="false">Drivers!$E$29+(18-12)/12*(Drivers!$E$30-Drivers!$E$29)</f>
        <v>2000</v>
      </c>
      <c r="U15" s="9" t="n">
        <f aca="false">Drivers!$E$29+(19-12)/12*(Drivers!$E$30-Drivers!$E$29)</f>
        <v>2166.66666666667</v>
      </c>
      <c r="V15" s="9" t="n">
        <f aca="false">Drivers!$E$29+(20-12)/12*(Drivers!$E$30-Drivers!$E$29)</f>
        <v>2333.33333333333</v>
      </c>
      <c r="W15" s="9" t="n">
        <f aca="false">Drivers!$E$29+(21-12)/12*(Drivers!$E$30-Drivers!$E$29)</f>
        <v>2500</v>
      </c>
      <c r="X15" s="9" t="n">
        <f aca="false">Drivers!$E$29+(22-12)/12*(Drivers!$E$30-Drivers!$E$29)</f>
        <v>2666.66666666667</v>
      </c>
      <c r="Y15" s="9" t="n">
        <f aca="false">Drivers!$E$29+(23-12)/12*(Drivers!$E$30-Drivers!$E$29)</f>
        <v>2833.33333333333</v>
      </c>
      <c r="Z15" s="9" t="n">
        <f aca="false">Drivers!$E$29+(24-12)/12*(Drivers!$E$30-Drivers!$E$29)</f>
        <v>3000</v>
      </c>
      <c r="AA15" s="9" t="n">
        <f aca="false">Drivers!$E$30+(25-24)/12*(Drivers!$E$31-Drivers!$E$30)</f>
        <v>3250</v>
      </c>
      <c r="AB15" s="9" t="n">
        <f aca="false">Drivers!$E$30+(26-24)/12*(Drivers!$E$31-Drivers!$E$30)</f>
        <v>3500</v>
      </c>
      <c r="AC15" s="9" t="n">
        <f aca="false">Drivers!$E$30+(27-24)/12*(Drivers!$E$31-Drivers!$E$30)</f>
        <v>3750</v>
      </c>
      <c r="AD15" s="9" t="n">
        <f aca="false">Drivers!$E$30+(28-24)/12*(Drivers!$E$31-Drivers!$E$30)</f>
        <v>4000</v>
      </c>
      <c r="AE15" s="9" t="n">
        <f aca="false">Drivers!$E$30+(29-24)/12*(Drivers!$E$31-Drivers!$E$30)</f>
        <v>4250</v>
      </c>
      <c r="AF15" s="9" t="n">
        <f aca="false">Drivers!$E$30+(30-24)/12*(Drivers!$E$31-Drivers!$E$30)</f>
        <v>4500</v>
      </c>
      <c r="AG15" s="9" t="n">
        <f aca="false">Drivers!$E$30+(31-24)/12*(Drivers!$E$31-Drivers!$E$30)</f>
        <v>4750</v>
      </c>
      <c r="AH15" s="9" t="n">
        <f aca="false">Drivers!$E$30+(32-24)/12*(Drivers!$E$31-Drivers!$E$30)</f>
        <v>5000</v>
      </c>
      <c r="AI15" s="9" t="n">
        <f aca="false">Drivers!$E$30+(33-24)/12*(Drivers!$E$31-Drivers!$E$30)</f>
        <v>5250</v>
      </c>
      <c r="AJ15" s="9" t="n">
        <f aca="false">Drivers!$E$30+(34-24)/12*(Drivers!$E$31-Drivers!$E$30)</f>
        <v>5500</v>
      </c>
      <c r="AK15" s="9" t="n">
        <f aca="false">Drivers!$E$30+(35-24)/12*(Drivers!$E$31-Drivers!$E$30)</f>
        <v>5750</v>
      </c>
      <c r="AL15" s="9" t="n">
        <f aca="false">Drivers!$E$30+(36-24)/12*(Drivers!$E$31-Drivers!$E$30)</f>
        <v>6000</v>
      </c>
    </row>
    <row r="16" customFormat="false" ht="15" hidden="false" customHeight="false" outlineLevel="0" collapsed="false">
      <c r="B16" s="8" t="s">
        <v>266</v>
      </c>
      <c r="C16" s="26" t="n">
        <f aca="false">(C15+Drivers!$E$28)/2</f>
        <v>50</v>
      </c>
      <c r="D16" s="26" t="n">
        <f aca="false">(C15+D15)/2</f>
        <v>93.1818181818182</v>
      </c>
      <c r="E16" s="26" t="n">
        <f aca="false">(D15+E15)/2</f>
        <v>179.545454545455</v>
      </c>
      <c r="F16" s="26" t="n">
        <f aca="false">(E15+F15)/2</f>
        <v>265.909090909091</v>
      </c>
      <c r="G16" s="26" t="n">
        <f aca="false">(F15+G15)/2</f>
        <v>352.272727272727</v>
      </c>
      <c r="H16" s="26" t="n">
        <f aca="false">(G15+H15)/2</f>
        <v>438.636363636364</v>
      </c>
      <c r="I16" s="26" t="n">
        <f aca="false">(H15+I15)/2</f>
        <v>525</v>
      </c>
      <c r="J16" s="26" t="n">
        <f aca="false">(I15+J15)/2</f>
        <v>611.363636363636</v>
      </c>
      <c r="K16" s="26" t="n">
        <f aca="false">(J15+K15)/2</f>
        <v>697.727272727273</v>
      </c>
      <c r="L16" s="26" t="n">
        <f aca="false">(K15+L15)/2</f>
        <v>784.090909090909</v>
      </c>
      <c r="M16" s="26" t="n">
        <f aca="false">(L15+M15)/2</f>
        <v>870.454545454546</v>
      </c>
      <c r="N16" s="26" t="n">
        <f aca="false">(M15+N15)/2</f>
        <v>956.818181818182</v>
      </c>
      <c r="O16" s="26" t="n">
        <f aca="false">(N15+O15)/2</f>
        <v>1083.33333333333</v>
      </c>
      <c r="P16" s="26" t="n">
        <f aca="false">(O15+P15)/2</f>
        <v>1250</v>
      </c>
      <c r="Q16" s="26" t="n">
        <f aca="false">(P15+Q15)/2</f>
        <v>1416.66666666667</v>
      </c>
      <c r="R16" s="26" t="n">
        <f aca="false">(Q15+R15)/2</f>
        <v>1583.33333333333</v>
      </c>
      <c r="S16" s="26" t="n">
        <f aca="false">(R15+S15)/2</f>
        <v>1750</v>
      </c>
      <c r="T16" s="26" t="n">
        <f aca="false">(S15+T15)/2</f>
        <v>1916.66666666667</v>
      </c>
      <c r="U16" s="26" t="n">
        <f aca="false">(T15+U15)/2</f>
        <v>2083.33333333333</v>
      </c>
      <c r="V16" s="26" t="n">
        <f aca="false">(U15+V15)/2</f>
        <v>2250</v>
      </c>
      <c r="W16" s="26" t="n">
        <f aca="false">(V15+W15)/2</f>
        <v>2416.66666666667</v>
      </c>
      <c r="X16" s="26" t="n">
        <f aca="false">(W15+X15)/2</f>
        <v>2583.33333333333</v>
      </c>
      <c r="Y16" s="26" t="n">
        <f aca="false">(X15+Y15)/2</f>
        <v>2750</v>
      </c>
      <c r="Z16" s="26" t="n">
        <f aca="false">(Y15+Z15)/2</f>
        <v>2916.66666666667</v>
      </c>
      <c r="AA16" s="26" t="n">
        <f aca="false">(Z15+AA15)/2</f>
        <v>3125</v>
      </c>
      <c r="AB16" s="26" t="n">
        <f aca="false">(AA15+AB15)/2</f>
        <v>3375</v>
      </c>
      <c r="AC16" s="26" t="n">
        <f aca="false">(AB15+AC15)/2</f>
        <v>3625</v>
      </c>
      <c r="AD16" s="26" t="n">
        <f aca="false">(AC15+AD15)/2</f>
        <v>3875</v>
      </c>
      <c r="AE16" s="26" t="n">
        <f aca="false">(AD15+AE15)/2</f>
        <v>4125</v>
      </c>
      <c r="AF16" s="26" t="n">
        <f aca="false">(AE15+AF15)/2</f>
        <v>4375</v>
      </c>
      <c r="AG16" s="26" t="n">
        <f aca="false">(AF15+AG15)/2</f>
        <v>4625</v>
      </c>
      <c r="AH16" s="26" t="n">
        <f aca="false">(AG15+AH15)/2</f>
        <v>4875</v>
      </c>
      <c r="AI16" s="26" t="n">
        <f aca="false">(AH15+AI15)/2</f>
        <v>5125</v>
      </c>
      <c r="AJ16" s="26" t="n">
        <f aca="false">(AI15+AJ15)/2</f>
        <v>5375</v>
      </c>
      <c r="AK16" s="26" t="n">
        <f aca="false">(AJ15+AK15)/2</f>
        <v>5625</v>
      </c>
      <c r="AL16" s="26" t="n">
        <f aca="false">(AK15+AL15)/2</f>
        <v>5875</v>
      </c>
    </row>
    <row r="17" customFormat="false" ht="15" hidden="false" customHeight="false" outlineLevel="0" collapsed="false">
      <c r="B17" s="8" t="s">
        <v>267</v>
      </c>
      <c r="C17" s="13" t="n">
        <f aca="false">1-(1-Drivers!$E$32)^(1/12)</f>
        <v>0.0292855303767776</v>
      </c>
      <c r="D17" s="13" t="n">
        <f aca="false">1-(1-Drivers!$E$32)^(1/12)</f>
        <v>0.0292855303767776</v>
      </c>
      <c r="E17" s="13" t="n">
        <f aca="false">1-(1-Drivers!$E$32)^(1/12)</f>
        <v>0.0292855303767776</v>
      </c>
      <c r="F17" s="13" t="n">
        <f aca="false">1-(1-Drivers!$E$32)^(1/12)</f>
        <v>0.0292855303767776</v>
      </c>
      <c r="G17" s="13" t="n">
        <f aca="false">1-(1-Drivers!$E$32)^(1/12)</f>
        <v>0.0292855303767776</v>
      </c>
      <c r="H17" s="13" t="n">
        <f aca="false">1-(1-Drivers!$E$32)^(1/12)</f>
        <v>0.0292855303767776</v>
      </c>
      <c r="I17" s="13" t="n">
        <f aca="false">1-(1-Drivers!$E$32)^(1/12)</f>
        <v>0.0292855303767776</v>
      </c>
      <c r="J17" s="13" t="n">
        <f aca="false">1-(1-Drivers!$E$32)^(1/12)</f>
        <v>0.0292855303767776</v>
      </c>
      <c r="K17" s="13" t="n">
        <f aca="false">1-(1-Drivers!$E$32)^(1/12)</f>
        <v>0.0292855303767776</v>
      </c>
      <c r="L17" s="13" t="n">
        <f aca="false">1-(1-Drivers!$E$32)^(1/12)</f>
        <v>0.0292855303767776</v>
      </c>
      <c r="M17" s="13" t="n">
        <f aca="false">1-(1-Drivers!$E$32)^(1/12)</f>
        <v>0.0292855303767776</v>
      </c>
      <c r="N17" s="13" t="n">
        <f aca="false">1-(1-Drivers!$E$32)^(1/12)</f>
        <v>0.0292855303767776</v>
      </c>
      <c r="O17" s="13" t="n">
        <f aca="false">1-(1-Drivers!$E$32)^(1/12)</f>
        <v>0.0292855303767776</v>
      </c>
      <c r="P17" s="13" t="n">
        <f aca="false">1-(1-Drivers!$E$32)^(1/12)</f>
        <v>0.0292855303767776</v>
      </c>
      <c r="Q17" s="13" t="n">
        <f aca="false">1-(1-Drivers!$E$32)^(1/12)</f>
        <v>0.0292855303767776</v>
      </c>
      <c r="R17" s="13" t="n">
        <f aca="false">1-(1-Drivers!$E$32)^(1/12)</f>
        <v>0.0292855303767776</v>
      </c>
      <c r="S17" s="13" t="n">
        <f aca="false">1-(1-Drivers!$E$32)^(1/12)</f>
        <v>0.0292855303767776</v>
      </c>
      <c r="T17" s="13" t="n">
        <f aca="false">1-(1-Drivers!$E$32)^(1/12)</f>
        <v>0.0292855303767776</v>
      </c>
      <c r="U17" s="13" t="n">
        <f aca="false">1-(1-Drivers!$E$32)^(1/12)</f>
        <v>0.0292855303767776</v>
      </c>
      <c r="V17" s="13" t="n">
        <f aca="false">1-(1-Drivers!$E$32)^(1/12)</f>
        <v>0.0292855303767776</v>
      </c>
      <c r="W17" s="13" t="n">
        <f aca="false">1-(1-Drivers!$E$32)^(1/12)</f>
        <v>0.0292855303767776</v>
      </c>
      <c r="X17" s="13" t="n">
        <f aca="false">1-(1-Drivers!$E$32)^(1/12)</f>
        <v>0.0292855303767776</v>
      </c>
      <c r="Y17" s="13" t="n">
        <f aca="false">1-(1-Drivers!$E$32)^(1/12)</f>
        <v>0.0292855303767776</v>
      </c>
      <c r="Z17" s="13" t="n">
        <f aca="false">1-(1-Drivers!$E$32)^(1/12)</f>
        <v>0.0292855303767776</v>
      </c>
      <c r="AA17" s="13" t="n">
        <f aca="false">1-(1-Drivers!$E$32)^(1/12)</f>
        <v>0.0292855303767776</v>
      </c>
      <c r="AB17" s="13" t="n">
        <f aca="false">1-(1-Drivers!$E$32)^(1/12)</f>
        <v>0.0292855303767776</v>
      </c>
      <c r="AC17" s="13" t="n">
        <f aca="false">1-(1-Drivers!$E$32)^(1/12)</f>
        <v>0.0292855303767776</v>
      </c>
      <c r="AD17" s="13" t="n">
        <f aca="false">1-(1-Drivers!$E$32)^(1/12)</f>
        <v>0.0292855303767776</v>
      </c>
      <c r="AE17" s="13" t="n">
        <f aca="false">1-(1-Drivers!$E$32)^(1/12)</f>
        <v>0.0292855303767776</v>
      </c>
      <c r="AF17" s="13" t="n">
        <f aca="false">1-(1-Drivers!$E$32)^(1/12)</f>
        <v>0.0292855303767776</v>
      </c>
      <c r="AG17" s="13" t="n">
        <f aca="false">1-(1-Drivers!$E$32)^(1/12)</f>
        <v>0.0292855303767776</v>
      </c>
      <c r="AH17" s="13" t="n">
        <f aca="false">1-(1-Drivers!$E$32)^(1/12)</f>
        <v>0.0292855303767776</v>
      </c>
      <c r="AI17" s="13" t="n">
        <f aca="false">1-(1-Drivers!$E$32)^(1/12)</f>
        <v>0.0292855303767776</v>
      </c>
      <c r="AJ17" s="13" t="n">
        <f aca="false">1-(1-Drivers!$E$32)^(1/12)</f>
        <v>0.0292855303767776</v>
      </c>
      <c r="AK17" s="13" t="n">
        <f aca="false">1-(1-Drivers!$E$32)^(1/12)</f>
        <v>0.0292855303767776</v>
      </c>
      <c r="AL17" s="13" t="n">
        <f aca="false">1-(1-Drivers!$E$32)^(1/12)</f>
        <v>0.0292855303767776</v>
      </c>
    </row>
    <row r="18" customFormat="false" ht="15" hidden="false" customHeight="false" outlineLevel="0" collapsed="false">
      <c r="B18" s="8" t="s">
        <v>268</v>
      </c>
      <c r="C18" s="26" t="n">
        <f aca="false">C16*C17</f>
        <v>1.46427651883888</v>
      </c>
      <c r="D18" s="26" t="n">
        <f aca="false">D16*D17</f>
        <v>2.72887896692701</v>
      </c>
      <c r="E18" s="26" t="n">
        <f aca="false">E16*E17</f>
        <v>5.25808386310325</v>
      </c>
      <c r="F18" s="26" t="n">
        <f aca="false">F16*F17</f>
        <v>7.7872887592795</v>
      </c>
      <c r="G18" s="26" t="n">
        <f aca="false">G16*G17</f>
        <v>10.3164936554558</v>
      </c>
      <c r="H18" s="26" t="n">
        <f aca="false">H16*H17</f>
        <v>12.845698551632</v>
      </c>
      <c r="I18" s="26" t="n">
        <f aca="false">I16*I17</f>
        <v>15.3749034478082</v>
      </c>
      <c r="J18" s="26" t="n">
        <f aca="false">J16*J17</f>
        <v>17.9041083439845</v>
      </c>
      <c r="K18" s="26" t="n">
        <f aca="false">K16*K17</f>
        <v>20.4333132401607</v>
      </c>
      <c r="L18" s="26" t="n">
        <f aca="false">L16*L17</f>
        <v>22.962518136337</v>
      </c>
      <c r="M18" s="26" t="n">
        <f aca="false">M16*M17</f>
        <v>25.4917230325132</v>
      </c>
      <c r="N18" s="26" t="n">
        <f aca="false">N16*N17</f>
        <v>28.0209279286895</v>
      </c>
      <c r="O18" s="26" t="n">
        <f aca="false">O16*O17</f>
        <v>31.7259912415091</v>
      </c>
      <c r="P18" s="26" t="n">
        <f aca="false">P16*P17</f>
        <v>36.606912970972</v>
      </c>
      <c r="Q18" s="26" t="n">
        <f aca="false">Q16*Q17</f>
        <v>41.4878347004349</v>
      </c>
      <c r="R18" s="26" t="n">
        <f aca="false">R16*R17</f>
        <v>46.3687564298979</v>
      </c>
      <c r="S18" s="26" t="n">
        <f aca="false">S16*S17</f>
        <v>51.2496781593608</v>
      </c>
      <c r="T18" s="26" t="n">
        <f aca="false">T16*T17</f>
        <v>56.1305998888238</v>
      </c>
      <c r="U18" s="26" t="n">
        <f aca="false">U16*U17</f>
        <v>61.0115216182867</v>
      </c>
      <c r="V18" s="26" t="n">
        <f aca="false">V16*V17</f>
        <v>65.8924433477496</v>
      </c>
      <c r="W18" s="26" t="n">
        <f aca="false">W16*W17</f>
        <v>70.7733650772126</v>
      </c>
      <c r="X18" s="26" t="n">
        <f aca="false">X16*X17</f>
        <v>75.6542868066755</v>
      </c>
      <c r="Y18" s="26" t="n">
        <f aca="false">Y16*Y17</f>
        <v>80.5352085361384</v>
      </c>
      <c r="Z18" s="26" t="n">
        <f aca="false">Z16*Z17</f>
        <v>85.4161302656014</v>
      </c>
      <c r="AA18" s="26" t="n">
        <f aca="false">AA16*AA17</f>
        <v>91.5172824274301</v>
      </c>
      <c r="AB18" s="26" t="n">
        <f aca="false">AB16*AB17</f>
        <v>98.8386650216245</v>
      </c>
      <c r="AC18" s="26" t="n">
        <f aca="false">AC16*AC17</f>
        <v>106.160047615819</v>
      </c>
      <c r="AD18" s="26" t="n">
        <f aca="false">AD16*AD17</f>
        <v>113.481430210013</v>
      </c>
      <c r="AE18" s="26" t="n">
        <f aca="false">AE16*AE17</f>
        <v>120.802812804208</v>
      </c>
      <c r="AF18" s="26" t="n">
        <f aca="false">AF16*AF17</f>
        <v>128.124195398402</v>
      </c>
      <c r="AG18" s="26" t="n">
        <f aca="false">AG16*AG17</f>
        <v>135.445577992596</v>
      </c>
      <c r="AH18" s="26" t="n">
        <f aca="false">AH16*AH17</f>
        <v>142.766960586791</v>
      </c>
      <c r="AI18" s="26" t="n">
        <f aca="false">AI16*AI17</f>
        <v>150.088343180985</v>
      </c>
      <c r="AJ18" s="26" t="n">
        <f aca="false">AJ16*AJ17</f>
        <v>157.40972577518</v>
      </c>
      <c r="AK18" s="26" t="n">
        <f aca="false">AK16*AK17</f>
        <v>164.731108369374</v>
      </c>
      <c r="AL18" s="26" t="n">
        <f aca="false">AL16*AL17</f>
        <v>172.052490963569</v>
      </c>
    </row>
    <row r="19" customFormat="false" ht="15" hidden="false" customHeight="false" outlineLevel="0" collapsed="false">
      <c r="B19" s="8" t="s">
        <v>269</v>
      </c>
      <c r="C19" s="26" t="n">
        <f aca="false">C15-Drivers!$E$28</f>
        <v>0</v>
      </c>
      <c r="D19" s="26" t="n">
        <f aca="false">D15-C15</f>
        <v>86.3636363636364</v>
      </c>
      <c r="E19" s="26" t="n">
        <f aca="false">E15-D15</f>
        <v>86.3636363636364</v>
      </c>
      <c r="F19" s="26" t="n">
        <f aca="false">F15-E15</f>
        <v>86.3636363636364</v>
      </c>
      <c r="G19" s="26" t="n">
        <f aca="false">G15-F15</f>
        <v>86.3636363636364</v>
      </c>
      <c r="H19" s="26" t="n">
        <f aca="false">H15-G15</f>
        <v>86.3636363636364</v>
      </c>
      <c r="I19" s="26" t="n">
        <f aca="false">I15-H15</f>
        <v>86.3636363636363</v>
      </c>
      <c r="J19" s="26" t="n">
        <f aca="false">J15-I15</f>
        <v>86.3636363636364</v>
      </c>
      <c r="K19" s="26" t="n">
        <f aca="false">K15-J15</f>
        <v>86.3636363636364</v>
      </c>
      <c r="L19" s="26" t="n">
        <f aca="false">L15-K15</f>
        <v>86.3636363636365</v>
      </c>
      <c r="M19" s="26" t="n">
        <f aca="false">M15-L15</f>
        <v>86.3636363636363</v>
      </c>
      <c r="N19" s="26" t="n">
        <f aca="false">N15-M15</f>
        <v>86.3636363636364</v>
      </c>
      <c r="O19" s="26" t="n">
        <f aca="false">O15-N15</f>
        <v>166.666666666667</v>
      </c>
      <c r="P19" s="26" t="n">
        <f aca="false">P15-O15</f>
        <v>166.666666666667</v>
      </c>
      <c r="Q19" s="26" t="n">
        <f aca="false">Q15-P15</f>
        <v>166.666666666667</v>
      </c>
      <c r="R19" s="26" t="n">
        <f aca="false">R15-Q15</f>
        <v>166.666666666667</v>
      </c>
      <c r="S19" s="26" t="n">
        <f aca="false">S15-R15</f>
        <v>166.666666666667</v>
      </c>
      <c r="T19" s="26" t="n">
        <f aca="false">T15-S15</f>
        <v>166.666666666667</v>
      </c>
      <c r="U19" s="26" t="n">
        <f aca="false">U15-T15</f>
        <v>166.666666666667</v>
      </c>
      <c r="V19" s="26" t="n">
        <f aca="false">V15-U15</f>
        <v>166.666666666666</v>
      </c>
      <c r="W19" s="26" t="n">
        <f aca="false">W15-V15</f>
        <v>166.666666666667</v>
      </c>
      <c r="X19" s="26" t="n">
        <f aca="false">X15-W15</f>
        <v>166.666666666667</v>
      </c>
      <c r="Y19" s="26" t="n">
        <f aca="false">Y15-X15</f>
        <v>166.666666666666</v>
      </c>
      <c r="Z19" s="26" t="n">
        <f aca="false">Z15-Y15</f>
        <v>166.666666666667</v>
      </c>
      <c r="AA19" s="26" t="n">
        <f aca="false">AA15-Z15</f>
        <v>250</v>
      </c>
      <c r="AB19" s="26" t="n">
        <f aca="false">AB15-AA15</f>
        <v>250</v>
      </c>
      <c r="AC19" s="26" t="n">
        <f aca="false">AC15-AB15</f>
        <v>250</v>
      </c>
      <c r="AD19" s="26" t="n">
        <f aca="false">AD15-AC15</f>
        <v>250</v>
      </c>
      <c r="AE19" s="26" t="n">
        <f aca="false">AE15-AD15</f>
        <v>250</v>
      </c>
      <c r="AF19" s="26" t="n">
        <f aca="false">AF15-AE15</f>
        <v>250</v>
      </c>
      <c r="AG19" s="26" t="n">
        <f aca="false">AG15-AF15</f>
        <v>250</v>
      </c>
      <c r="AH19" s="26" t="n">
        <f aca="false">AH15-AG15</f>
        <v>250</v>
      </c>
      <c r="AI19" s="26" t="n">
        <f aca="false">AI15-AH15</f>
        <v>250</v>
      </c>
      <c r="AJ19" s="26" t="n">
        <f aca="false">AJ15-AI15</f>
        <v>250</v>
      </c>
      <c r="AK19" s="26" t="n">
        <f aca="false">AK15-AJ15</f>
        <v>250</v>
      </c>
      <c r="AL19" s="26" t="n">
        <f aca="false">AL15-AK15</f>
        <v>250</v>
      </c>
    </row>
    <row r="20" customFormat="false" ht="15" hidden="false" customHeight="false" outlineLevel="0" collapsed="false">
      <c r="B20" s="10" t="s">
        <v>270</v>
      </c>
      <c r="C20" s="26" t="n">
        <f aca="false">MAX(0,C19+C18)</f>
        <v>1.46427651883888</v>
      </c>
      <c r="D20" s="26" t="n">
        <f aca="false">MAX(0,D19+D18)</f>
        <v>89.0925153305634</v>
      </c>
      <c r="E20" s="26" t="n">
        <f aca="false">MAX(0,E19+E18)</f>
        <v>91.6217202267396</v>
      </c>
      <c r="F20" s="26" t="n">
        <f aca="false">MAX(0,F19+F18)</f>
        <v>94.1509251229159</v>
      </c>
      <c r="G20" s="26" t="n">
        <f aca="false">MAX(0,G19+G18)</f>
        <v>96.6801300190921</v>
      </c>
      <c r="H20" s="26" t="n">
        <f aca="false">MAX(0,H19+H18)</f>
        <v>99.2093349152684</v>
      </c>
      <c r="I20" s="26" t="n">
        <f aca="false">MAX(0,I19+I18)</f>
        <v>101.738539811445</v>
      </c>
      <c r="J20" s="26" t="n">
        <f aca="false">MAX(0,J19+J18)</f>
        <v>104.267744707621</v>
      </c>
      <c r="K20" s="26" t="n">
        <f aca="false">MAX(0,K19+K18)</f>
        <v>106.796949603797</v>
      </c>
      <c r="L20" s="26" t="n">
        <f aca="false">MAX(0,L19+L18)</f>
        <v>109.326154499973</v>
      </c>
      <c r="M20" s="26" t="n">
        <f aca="false">MAX(0,M19+M18)</f>
        <v>111.85535939615</v>
      </c>
      <c r="N20" s="26" t="n">
        <f aca="false">MAX(0,N19+N18)</f>
        <v>114.384564292326</v>
      </c>
      <c r="O20" s="26" t="n">
        <f aca="false">MAX(0,O19+O18)</f>
        <v>198.392657908176</v>
      </c>
      <c r="P20" s="26" t="n">
        <f aca="false">MAX(0,P19+P18)</f>
        <v>203.273579637639</v>
      </c>
      <c r="Q20" s="26" t="n">
        <f aca="false">MAX(0,Q19+Q18)</f>
        <v>208.154501367102</v>
      </c>
      <c r="R20" s="26" t="n">
        <f aca="false">MAX(0,R19+R18)</f>
        <v>213.035423096564</v>
      </c>
      <c r="S20" s="26" t="n">
        <f aca="false">MAX(0,S19+S18)</f>
        <v>217.916344826028</v>
      </c>
      <c r="T20" s="26" t="n">
        <f aca="false">MAX(0,T19+T18)</f>
        <v>222.79726655549</v>
      </c>
      <c r="U20" s="26" t="n">
        <f aca="false">MAX(0,U19+U18)</f>
        <v>227.678188284954</v>
      </c>
      <c r="V20" s="26" t="n">
        <f aca="false">MAX(0,V19+V18)</f>
        <v>232.559110014416</v>
      </c>
      <c r="W20" s="26" t="n">
        <f aca="false">MAX(0,W19+W18)</f>
        <v>237.44003174388</v>
      </c>
      <c r="X20" s="26" t="n">
        <f aca="false">MAX(0,X19+X18)</f>
        <v>242.320953473342</v>
      </c>
      <c r="Y20" s="26" t="n">
        <f aca="false">MAX(0,Y19+Y18)</f>
        <v>247.201875202805</v>
      </c>
      <c r="Z20" s="26" t="n">
        <f aca="false">MAX(0,Z19+Z18)</f>
        <v>252.082796932268</v>
      </c>
      <c r="AA20" s="26" t="n">
        <f aca="false">MAX(0,AA19+AA18)</f>
        <v>341.51728242743</v>
      </c>
      <c r="AB20" s="26" t="n">
        <f aca="false">MAX(0,AB19+AB18)</f>
        <v>348.838665021625</v>
      </c>
      <c r="AC20" s="26" t="n">
        <f aca="false">MAX(0,AC19+AC18)</f>
        <v>356.160047615819</v>
      </c>
      <c r="AD20" s="26" t="n">
        <f aca="false">MAX(0,AD19+AD18)</f>
        <v>363.481430210013</v>
      </c>
      <c r="AE20" s="26" t="n">
        <f aca="false">MAX(0,AE19+AE18)</f>
        <v>370.802812804208</v>
      </c>
      <c r="AF20" s="26" t="n">
        <f aca="false">MAX(0,AF19+AF18)</f>
        <v>378.124195398402</v>
      </c>
      <c r="AG20" s="26" t="n">
        <f aca="false">MAX(0,AG19+AG18)</f>
        <v>385.445577992596</v>
      </c>
      <c r="AH20" s="26" t="n">
        <f aca="false">MAX(0,AH19+AH18)</f>
        <v>392.766960586791</v>
      </c>
      <c r="AI20" s="26" t="n">
        <f aca="false">MAX(0,AI19+AI18)</f>
        <v>400.088343180985</v>
      </c>
      <c r="AJ20" s="26" t="n">
        <f aca="false">MAX(0,AJ19+AJ18)</f>
        <v>407.40972577518</v>
      </c>
      <c r="AK20" s="26" t="n">
        <f aca="false">MAX(0,AK19+AK18)</f>
        <v>414.731108369374</v>
      </c>
      <c r="AL20" s="26" t="n">
        <f aca="false">MAX(0,AL19+AL18)</f>
        <v>422.052490963569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8" min="3" style="0" width="11"/>
  </cols>
  <sheetData>
    <row r="2" customFormat="false" ht="22.05" hidden="false" customHeight="false" outlineLevel="0" collapsed="false">
      <c r="B2" s="1" t="s">
        <v>271</v>
      </c>
    </row>
    <row r="3" customFormat="false" ht="22.35" hidden="false" customHeight="false" outlineLevel="0" collapsed="false">
      <c r="B3" s="16" t="s">
        <v>272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10" t="s">
        <v>273</v>
      </c>
      <c r="C7" s="21" t="n">
        <f aca="false">Drivers!$E$11*(Drivers!$E$12*Drivers!$E$8/12 + (1-Drivers!$E$12)*Drivers!$E$7) + (1-Drivers!$E$11)*(Drivers!$E$12*Drivers!$E$10/12 + (1-Drivers!$E$12)*Drivers!$E$9)</f>
        <v>3710</v>
      </c>
      <c r="D7" s="21" t="n">
        <f aca="false">Drivers!$E$11*(Drivers!$E$12*Drivers!$E$8/12 + (1-Drivers!$E$12)*Drivers!$E$7) + (1-Drivers!$E$11)*(Drivers!$E$12*Drivers!$E$10/12 + (1-Drivers!$E$12)*Drivers!$E$9)</f>
        <v>3710</v>
      </c>
      <c r="E7" s="21" t="n">
        <f aca="false">Drivers!$E$11*(Drivers!$E$12*Drivers!$E$8/12 + (1-Drivers!$E$12)*Drivers!$E$7) + (1-Drivers!$E$11)*(Drivers!$E$12*Drivers!$E$10/12 + (1-Drivers!$E$12)*Drivers!$E$9)</f>
        <v>3710</v>
      </c>
      <c r="F7" s="21" t="n">
        <f aca="false">Drivers!$E$11*(Drivers!$E$12*Drivers!$E$8/12 + (1-Drivers!$E$12)*Drivers!$E$7) + (1-Drivers!$E$11)*(Drivers!$E$12*Drivers!$E$10/12 + (1-Drivers!$E$12)*Drivers!$E$9)</f>
        <v>3710</v>
      </c>
      <c r="G7" s="21" t="n">
        <f aca="false">Drivers!$E$11*(Drivers!$E$12*Drivers!$E$8/12 + (1-Drivers!$E$12)*Drivers!$E$7) + (1-Drivers!$E$11)*(Drivers!$E$12*Drivers!$E$10/12 + (1-Drivers!$E$12)*Drivers!$E$9)</f>
        <v>3710</v>
      </c>
      <c r="H7" s="21" t="n">
        <f aca="false">Drivers!$E$11*(Drivers!$E$12*Drivers!$E$8/12 + (1-Drivers!$E$12)*Drivers!$E$7) + (1-Drivers!$E$11)*(Drivers!$E$12*Drivers!$E$10/12 + (1-Drivers!$E$12)*Drivers!$E$9)</f>
        <v>3710</v>
      </c>
      <c r="I7" s="21" t="n">
        <f aca="false">Drivers!$E$11*(Drivers!$E$12*Drivers!$E$8/12 + (1-Drivers!$E$12)*Drivers!$E$7) + (1-Drivers!$E$11)*(Drivers!$E$12*Drivers!$E$10/12 + (1-Drivers!$E$12)*Drivers!$E$9)</f>
        <v>3710</v>
      </c>
      <c r="J7" s="21" t="n">
        <f aca="false">Drivers!$E$11*(Drivers!$E$12*Drivers!$E$8/12 + (1-Drivers!$E$12)*Drivers!$E$7) + (1-Drivers!$E$11)*(Drivers!$E$12*Drivers!$E$10/12 + (1-Drivers!$E$12)*Drivers!$E$9)</f>
        <v>3710</v>
      </c>
      <c r="K7" s="21" t="n">
        <f aca="false">Drivers!$E$11*(Drivers!$E$12*Drivers!$E$8/12 + (1-Drivers!$E$12)*Drivers!$E$7) + (1-Drivers!$E$11)*(Drivers!$E$12*Drivers!$E$10/12 + (1-Drivers!$E$12)*Drivers!$E$9)</f>
        <v>3710</v>
      </c>
      <c r="L7" s="21" t="n">
        <f aca="false">Drivers!$E$11*(Drivers!$E$12*Drivers!$E$8/12 + (1-Drivers!$E$12)*Drivers!$E$7) + (1-Drivers!$E$11)*(Drivers!$E$12*Drivers!$E$10/12 + (1-Drivers!$E$12)*Drivers!$E$9)</f>
        <v>3710</v>
      </c>
      <c r="M7" s="21" t="n">
        <f aca="false">Drivers!$E$11*(Drivers!$E$12*Drivers!$E$8/12 + (1-Drivers!$E$12)*Drivers!$E$7) + (1-Drivers!$E$11)*(Drivers!$E$12*Drivers!$E$10/12 + (1-Drivers!$E$12)*Drivers!$E$9)</f>
        <v>3710</v>
      </c>
      <c r="N7" s="21" t="n">
        <f aca="false">Drivers!$E$11*(Drivers!$E$12*Drivers!$E$8/12 + (1-Drivers!$E$12)*Drivers!$E$7) + (1-Drivers!$E$11)*(Drivers!$E$12*Drivers!$E$10/12 + (1-Drivers!$E$12)*Drivers!$E$9)</f>
        <v>3710</v>
      </c>
      <c r="O7" s="21" t="n">
        <f aca="false">Drivers!$E$11*(Drivers!$E$12*Drivers!$E$8/12 + (1-Drivers!$E$12)*Drivers!$E$7) + (1-Drivers!$E$11)*(Drivers!$E$12*Drivers!$E$10/12 + (1-Drivers!$E$12)*Drivers!$E$9)</f>
        <v>3710</v>
      </c>
      <c r="P7" s="21" t="n">
        <f aca="false">Drivers!$E$11*(Drivers!$E$12*Drivers!$E$8/12 + (1-Drivers!$E$12)*Drivers!$E$7) + (1-Drivers!$E$11)*(Drivers!$E$12*Drivers!$E$10/12 + (1-Drivers!$E$12)*Drivers!$E$9)</f>
        <v>3710</v>
      </c>
      <c r="Q7" s="21" t="n">
        <f aca="false">Drivers!$E$11*(Drivers!$E$12*Drivers!$E$8/12 + (1-Drivers!$E$12)*Drivers!$E$7) + (1-Drivers!$E$11)*(Drivers!$E$12*Drivers!$E$10/12 + (1-Drivers!$E$12)*Drivers!$E$9)</f>
        <v>3710</v>
      </c>
      <c r="R7" s="21" t="n">
        <f aca="false">Drivers!$E$11*(Drivers!$E$12*Drivers!$E$8/12 + (1-Drivers!$E$12)*Drivers!$E$7) + (1-Drivers!$E$11)*(Drivers!$E$12*Drivers!$E$10/12 + (1-Drivers!$E$12)*Drivers!$E$9)</f>
        <v>3710</v>
      </c>
      <c r="S7" s="21" t="n">
        <f aca="false">Drivers!$E$11*(Drivers!$E$12*Drivers!$E$8/12 + (1-Drivers!$E$12)*Drivers!$E$7) + (1-Drivers!$E$11)*(Drivers!$E$12*Drivers!$E$10/12 + (1-Drivers!$E$12)*Drivers!$E$9)</f>
        <v>3710</v>
      </c>
      <c r="T7" s="21" t="n">
        <f aca="false">Drivers!$E$11*(Drivers!$E$12*Drivers!$E$8/12 + (1-Drivers!$E$12)*Drivers!$E$7) + (1-Drivers!$E$11)*(Drivers!$E$12*Drivers!$E$10/12 + (1-Drivers!$E$12)*Drivers!$E$9)</f>
        <v>3710</v>
      </c>
      <c r="U7" s="21" t="n">
        <f aca="false">Drivers!$E$11*(Drivers!$E$12*Drivers!$E$8/12 + (1-Drivers!$E$12)*Drivers!$E$7) + (1-Drivers!$E$11)*(Drivers!$E$12*Drivers!$E$10/12 + (1-Drivers!$E$12)*Drivers!$E$9)</f>
        <v>3710</v>
      </c>
      <c r="V7" s="21" t="n">
        <f aca="false">Drivers!$E$11*(Drivers!$E$12*Drivers!$E$8/12 + (1-Drivers!$E$12)*Drivers!$E$7) + (1-Drivers!$E$11)*(Drivers!$E$12*Drivers!$E$10/12 + (1-Drivers!$E$12)*Drivers!$E$9)</f>
        <v>3710</v>
      </c>
      <c r="W7" s="21" t="n">
        <f aca="false">Drivers!$E$11*(Drivers!$E$12*Drivers!$E$8/12 + (1-Drivers!$E$12)*Drivers!$E$7) + (1-Drivers!$E$11)*(Drivers!$E$12*Drivers!$E$10/12 + (1-Drivers!$E$12)*Drivers!$E$9)</f>
        <v>3710</v>
      </c>
      <c r="X7" s="21" t="n">
        <f aca="false">Drivers!$E$11*(Drivers!$E$12*Drivers!$E$8/12 + (1-Drivers!$E$12)*Drivers!$E$7) + (1-Drivers!$E$11)*(Drivers!$E$12*Drivers!$E$10/12 + (1-Drivers!$E$12)*Drivers!$E$9)</f>
        <v>3710</v>
      </c>
      <c r="Y7" s="21" t="n">
        <f aca="false">Drivers!$E$11*(Drivers!$E$12*Drivers!$E$8/12 + (1-Drivers!$E$12)*Drivers!$E$7) + (1-Drivers!$E$11)*(Drivers!$E$12*Drivers!$E$10/12 + (1-Drivers!$E$12)*Drivers!$E$9)</f>
        <v>3710</v>
      </c>
      <c r="Z7" s="21" t="n">
        <f aca="false">Drivers!$E$11*(Drivers!$E$12*Drivers!$E$8/12 + (1-Drivers!$E$12)*Drivers!$E$7) + (1-Drivers!$E$11)*(Drivers!$E$12*Drivers!$E$10/12 + (1-Drivers!$E$12)*Drivers!$E$9)</f>
        <v>3710</v>
      </c>
      <c r="AA7" s="21" t="n">
        <f aca="false">Drivers!$E$11*(Drivers!$E$12*Drivers!$E$8/12 + (1-Drivers!$E$12)*Drivers!$E$7) + (1-Drivers!$E$11)*(Drivers!$E$12*Drivers!$E$10/12 + (1-Drivers!$E$12)*Drivers!$E$9)</f>
        <v>3710</v>
      </c>
      <c r="AB7" s="21" t="n">
        <f aca="false">Drivers!$E$11*(Drivers!$E$12*Drivers!$E$8/12 + (1-Drivers!$E$12)*Drivers!$E$7) + (1-Drivers!$E$11)*(Drivers!$E$12*Drivers!$E$10/12 + (1-Drivers!$E$12)*Drivers!$E$9)</f>
        <v>3710</v>
      </c>
      <c r="AC7" s="21" t="n">
        <f aca="false">Drivers!$E$11*(Drivers!$E$12*Drivers!$E$8/12 + (1-Drivers!$E$12)*Drivers!$E$7) + (1-Drivers!$E$11)*(Drivers!$E$12*Drivers!$E$10/12 + (1-Drivers!$E$12)*Drivers!$E$9)</f>
        <v>3710</v>
      </c>
      <c r="AD7" s="21" t="n">
        <f aca="false">Drivers!$E$11*(Drivers!$E$12*Drivers!$E$8/12 + (1-Drivers!$E$12)*Drivers!$E$7) + (1-Drivers!$E$11)*(Drivers!$E$12*Drivers!$E$10/12 + (1-Drivers!$E$12)*Drivers!$E$9)</f>
        <v>3710</v>
      </c>
      <c r="AE7" s="21" t="n">
        <f aca="false">Drivers!$E$11*(Drivers!$E$12*Drivers!$E$8/12 + (1-Drivers!$E$12)*Drivers!$E$7) + (1-Drivers!$E$11)*(Drivers!$E$12*Drivers!$E$10/12 + (1-Drivers!$E$12)*Drivers!$E$9)</f>
        <v>3710</v>
      </c>
      <c r="AF7" s="21" t="n">
        <f aca="false">Drivers!$E$11*(Drivers!$E$12*Drivers!$E$8/12 + (1-Drivers!$E$12)*Drivers!$E$7) + (1-Drivers!$E$11)*(Drivers!$E$12*Drivers!$E$10/12 + (1-Drivers!$E$12)*Drivers!$E$9)</f>
        <v>3710</v>
      </c>
      <c r="AG7" s="21" t="n">
        <f aca="false">Drivers!$E$11*(Drivers!$E$12*Drivers!$E$8/12 + (1-Drivers!$E$12)*Drivers!$E$7) + (1-Drivers!$E$11)*(Drivers!$E$12*Drivers!$E$10/12 + (1-Drivers!$E$12)*Drivers!$E$9)</f>
        <v>3710</v>
      </c>
      <c r="AH7" s="21" t="n">
        <f aca="false">Drivers!$E$11*(Drivers!$E$12*Drivers!$E$8/12 + (1-Drivers!$E$12)*Drivers!$E$7) + (1-Drivers!$E$11)*(Drivers!$E$12*Drivers!$E$10/12 + (1-Drivers!$E$12)*Drivers!$E$9)</f>
        <v>3710</v>
      </c>
      <c r="AI7" s="21" t="n">
        <f aca="false">Drivers!$E$11*(Drivers!$E$12*Drivers!$E$8/12 + (1-Drivers!$E$12)*Drivers!$E$7) + (1-Drivers!$E$11)*(Drivers!$E$12*Drivers!$E$10/12 + (1-Drivers!$E$12)*Drivers!$E$9)</f>
        <v>3710</v>
      </c>
      <c r="AJ7" s="21" t="n">
        <f aca="false">Drivers!$E$11*(Drivers!$E$12*Drivers!$E$8/12 + (1-Drivers!$E$12)*Drivers!$E$7) + (1-Drivers!$E$11)*(Drivers!$E$12*Drivers!$E$10/12 + (1-Drivers!$E$12)*Drivers!$E$9)</f>
        <v>3710</v>
      </c>
      <c r="AK7" s="21" t="n">
        <f aca="false">Drivers!$E$11*(Drivers!$E$12*Drivers!$E$8/12 + (1-Drivers!$E$12)*Drivers!$E$7) + (1-Drivers!$E$11)*(Drivers!$E$12*Drivers!$E$10/12 + (1-Drivers!$E$12)*Drivers!$E$9)</f>
        <v>3710</v>
      </c>
      <c r="AL7" s="21" t="n">
        <f aca="false">Drivers!$E$11*(Drivers!$E$12*Drivers!$E$8/12 + (1-Drivers!$E$12)*Drivers!$E$7) + (1-Drivers!$E$11)*(Drivers!$E$12*Drivers!$E$10/12 + (1-Drivers!$E$12)*Drivers!$E$9)</f>
        <v>3710</v>
      </c>
    </row>
    <row r="8" customFormat="false" ht="15" hidden="false" customHeight="false" outlineLevel="0" collapsed="false">
      <c r="B8" s="8" t="s">
        <v>274</v>
      </c>
      <c r="C8" s="21" t="n">
        <f aca="false">Member_Build!C8*C7</f>
        <v>74200</v>
      </c>
      <c r="D8" s="21" t="n">
        <f aca="false">Member_Build!D8*D7</f>
        <v>87690.9090909091</v>
      </c>
      <c r="E8" s="21" t="n">
        <f aca="false">Member_Build!E8*E7</f>
        <v>114672.727272727</v>
      </c>
      <c r="F8" s="21" t="n">
        <f aca="false">Member_Build!F8*F7</f>
        <v>141654.545454545</v>
      </c>
      <c r="G8" s="21" t="n">
        <f aca="false">Member_Build!G8*G7</f>
        <v>168636.363636364</v>
      </c>
      <c r="H8" s="21" t="n">
        <f aca="false">Member_Build!H8*H7</f>
        <v>195618.181818182</v>
      </c>
      <c r="I8" s="21" t="n">
        <f aca="false">Member_Build!I8*I7</f>
        <v>222600</v>
      </c>
      <c r="J8" s="21" t="n">
        <f aca="false">Member_Build!J8*J7</f>
        <v>249581.818181818</v>
      </c>
      <c r="K8" s="21" t="n">
        <f aca="false">Member_Build!K8*K7</f>
        <v>276563.636363636</v>
      </c>
      <c r="L8" s="21" t="n">
        <f aca="false">Member_Build!L8*L7</f>
        <v>303545.454545455</v>
      </c>
      <c r="M8" s="21" t="n">
        <f aca="false">Member_Build!M8*M7</f>
        <v>330527.272727273</v>
      </c>
      <c r="N8" s="21" t="n">
        <f aca="false">Member_Build!N8*N7</f>
        <v>357509.090909091</v>
      </c>
      <c r="O8" s="21" t="n">
        <f aca="false">Member_Build!O8*O7</f>
        <v>394187.5</v>
      </c>
      <c r="P8" s="21" t="n">
        <f aca="false">Member_Build!P8*P7</f>
        <v>440562.5</v>
      </c>
      <c r="Q8" s="21" t="n">
        <f aca="false">Member_Build!Q8*Q7</f>
        <v>486937.5</v>
      </c>
      <c r="R8" s="21" t="n">
        <f aca="false">Member_Build!R8*R7</f>
        <v>533312.5</v>
      </c>
      <c r="S8" s="21" t="n">
        <f aca="false">Member_Build!S8*S7</f>
        <v>579687.5</v>
      </c>
      <c r="T8" s="21" t="n">
        <f aca="false">Member_Build!T8*T7</f>
        <v>626062.5</v>
      </c>
      <c r="U8" s="21" t="n">
        <f aca="false">Member_Build!U8*U7</f>
        <v>672437.5</v>
      </c>
      <c r="V8" s="21" t="n">
        <f aca="false">Member_Build!V8*V7</f>
        <v>718812.5</v>
      </c>
      <c r="W8" s="21" t="n">
        <f aca="false">Member_Build!W8*W7</f>
        <v>765187.5</v>
      </c>
      <c r="X8" s="21" t="n">
        <f aca="false">Member_Build!X8*X7</f>
        <v>811562.5</v>
      </c>
      <c r="Y8" s="21" t="n">
        <f aca="false">Member_Build!Y8*Y7</f>
        <v>857937.5</v>
      </c>
      <c r="Z8" s="21" t="n">
        <f aca="false">Member_Build!Z8*Z7</f>
        <v>904312.5</v>
      </c>
      <c r="AA8" s="21" t="n">
        <f aca="false">Member_Build!AA8*AA7</f>
        <v>966145.833333333</v>
      </c>
      <c r="AB8" s="21" t="n">
        <f aca="false">Member_Build!AB8*AB7</f>
        <v>1043437.5</v>
      </c>
      <c r="AC8" s="21" t="n">
        <f aca="false">Member_Build!AC8*AC7</f>
        <v>1120729.16666667</v>
      </c>
      <c r="AD8" s="21" t="n">
        <f aca="false">Member_Build!AD8*AD7</f>
        <v>1198020.83333333</v>
      </c>
      <c r="AE8" s="21" t="n">
        <f aca="false">Member_Build!AE8*AE7</f>
        <v>1275312.5</v>
      </c>
      <c r="AF8" s="21" t="n">
        <f aca="false">Member_Build!AF8*AF7</f>
        <v>1352604.16666667</v>
      </c>
      <c r="AG8" s="21" t="n">
        <f aca="false">Member_Build!AG8*AG7</f>
        <v>1429895.83333333</v>
      </c>
      <c r="AH8" s="21" t="n">
        <f aca="false">Member_Build!AH8*AH7</f>
        <v>1507187.5</v>
      </c>
      <c r="AI8" s="21" t="n">
        <f aca="false">Member_Build!AI8*AI7</f>
        <v>1584479.16666667</v>
      </c>
      <c r="AJ8" s="21" t="n">
        <f aca="false">Member_Build!AJ8*AJ7</f>
        <v>1661770.83333333</v>
      </c>
      <c r="AK8" s="21" t="n">
        <f aca="false">Member_Build!AK8*AK7</f>
        <v>1739062.5</v>
      </c>
      <c r="AL8" s="21" t="n">
        <f aca="false">Member_Build!AL8*AL7</f>
        <v>1816354.16666667</v>
      </c>
    </row>
    <row r="9" customFormat="false" ht="15" hidden="false" customHeight="false" outlineLevel="0" collapsed="false">
      <c r="B9" s="8" t="s">
        <v>275</v>
      </c>
      <c r="C9" s="12" t="n">
        <f aca="false">Member_Build!C12*Drivers!$E$13</f>
        <v>1345.19470118689</v>
      </c>
      <c r="D9" s="12" t="n">
        <f aca="false">Member_Build!D12*Drivers!$E$13</f>
        <v>37953.4119195845</v>
      </c>
      <c r="E9" s="12" t="n">
        <f aca="false">Member_Build!E12*Drivers!$E$13</f>
        <v>38442.573629107</v>
      </c>
      <c r="F9" s="12" t="n">
        <f aca="false">Member_Build!F12*Drivers!$E$13</f>
        <v>38931.7353386295</v>
      </c>
      <c r="G9" s="12" t="n">
        <f aca="false">Member_Build!G12*Drivers!$E$13</f>
        <v>39420.8970481521</v>
      </c>
      <c r="H9" s="12" t="n">
        <f aca="false">Member_Build!H12*Drivers!$E$13</f>
        <v>39910.0587576745</v>
      </c>
      <c r="I9" s="12" t="n">
        <f aca="false">Member_Build!I12*Drivers!$E$13</f>
        <v>40399.2204671971</v>
      </c>
      <c r="J9" s="12" t="n">
        <f aca="false">Member_Build!J12*Drivers!$E$13</f>
        <v>40888.3821767195</v>
      </c>
      <c r="K9" s="12" t="n">
        <f aca="false">Member_Build!K12*Drivers!$E$13</f>
        <v>41377.5438862421</v>
      </c>
      <c r="L9" s="12" t="n">
        <f aca="false">Member_Build!L12*Drivers!$E$13</f>
        <v>41866.7055957645</v>
      </c>
      <c r="M9" s="12" t="n">
        <f aca="false">Member_Build!M12*Drivers!$E$13</f>
        <v>42355.867305287</v>
      </c>
      <c r="N9" s="12" t="n">
        <f aca="false">Member_Build!N12*Drivers!$E$13</f>
        <v>42845.0290148096</v>
      </c>
      <c r="O9" s="12" t="n">
        <f aca="false">Member_Build!O12*Drivers!$E$13</f>
        <v>69646.3468500554</v>
      </c>
      <c r="P9" s="12" t="n">
        <f aca="false">Member_Build!P12*Drivers!$E$13</f>
        <v>70487.0935382972</v>
      </c>
      <c r="Q9" s="12" t="n">
        <f aca="false">Member_Build!Q12*Drivers!$E$13</f>
        <v>71327.840226539</v>
      </c>
      <c r="R9" s="12" t="n">
        <f aca="false">Member_Build!R12*Drivers!$E$13</f>
        <v>72168.5869147808</v>
      </c>
      <c r="S9" s="12" t="n">
        <f aca="false">Member_Build!S12*Drivers!$E$13</f>
        <v>73009.3336030226</v>
      </c>
      <c r="T9" s="12" t="n">
        <f aca="false">Member_Build!T12*Drivers!$E$13</f>
        <v>73850.0802912644</v>
      </c>
      <c r="U9" s="12" t="n">
        <f aca="false">Member_Build!U12*Drivers!$E$13</f>
        <v>74690.8269795062</v>
      </c>
      <c r="V9" s="12" t="n">
        <f aca="false">Member_Build!V12*Drivers!$E$13</f>
        <v>75531.573667748</v>
      </c>
      <c r="W9" s="12" t="n">
        <f aca="false">Member_Build!W12*Drivers!$E$13</f>
        <v>76372.3203559898</v>
      </c>
      <c r="X9" s="12" t="n">
        <f aca="false">Member_Build!X12*Drivers!$E$13</f>
        <v>77213.0670442316</v>
      </c>
      <c r="Y9" s="12" t="n">
        <f aca="false">Member_Build!Y12*Drivers!$E$13</f>
        <v>78053.8137324734</v>
      </c>
      <c r="Z9" s="12" t="n">
        <f aca="false">Member_Build!Z12*Drivers!$E$13</f>
        <v>78894.5604207152</v>
      </c>
      <c r="AA9" s="12" t="n">
        <f aca="false">Member_Build!AA12*Drivers!$E$13</f>
        <v>121682.222671704</v>
      </c>
      <c r="AB9" s="12" t="n">
        <f aca="false">Member_Build!AB12*Drivers!$E$13</f>
        <v>123083.467152108</v>
      </c>
      <c r="AC9" s="12" t="n">
        <f aca="false">Member_Build!AC12*Drivers!$E$13</f>
        <v>124484.71163251</v>
      </c>
      <c r="AD9" s="12" t="n">
        <f aca="false">Member_Build!AD12*Drivers!$E$13</f>
        <v>125885.956112913</v>
      </c>
      <c r="AE9" s="12" t="n">
        <f aca="false">Member_Build!AE12*Drivers!$E$13</f>
        <v>127287.200593317</v>
      </c>
      <c r="AF9" s="12" t="n">
        <f aca="false">Member_Build!AF12*Drivers!$E$13</f>
        <v>128688.445073719</v>
      </c>
      <c r="AG9" s="12" t="n">
        <f aca="false">Member_Build!AG12*Drivers!$E$13</f>
        <v>130089.689554123</v>
      </c>
      <c r="AH9" s="12" t="n">
        <f aca="false">Member_Build!AH12*Drivers!$E$13</f>
        <v>131490.934034525</v>
      </c>
      <c r="AI9" s="12" t="n">
        <f aca="false">Member_Build!AI12*Drivers!$E$13</f>
        <v>132892.178514929</v>
      </c>
      <c r="AJ9" s="12" t="n">
        <f aca="false">Member_Build!AJ12*Drivers!$E$13</f>
        <v>134293.422995332</v>
      </c>
      <c r="AK9" s="12" t="n">
        <f aca="false">Member_Build!AK12*Drivers!$E$13</f>
        <v>135694.667475734</v>
      </c>
      <c r="AL9" s="12" t="n">
        <f aca="false">Member_Build!AL12*Drivers!$E$13</f>
        <v>137095.911956138</v>
      </c>
    </row>
    <row r="11" customFormat="false" ht="15" hidden="false" customHeight="false" outlineLevel="0" collapsed="false">
      <c r="B11" s="8" t="s">
        <v>276</v>
      </c>
      <c r="C11" s="21" t="n">
        <f aca="false">Member_Build!C8*Drivers!$E$38*Drivers!$E$37</f>
        <v>7500</v>
      </c>
      <c r="D11" s="21" t="n">
        <f aca="false">Member_Build!D8*Drivers!$E$38*Drivers!$E$37</f>
        <v>8863.63636363636</v>
      </c>
      <c r="E11" s="21" t="n">
        <f aca="false">Member_Build!E8*Drivers!$E$38*Drivers!$E$37</f>
        <v>11590.9090909091</v>
      </c>
      <c r="F11" s="21" t="n">
        <f aca="false">Member_Build!F8*Drivers!$E$38*Drivers!$E$37</f>
        <v>14318.1818181818</v>
      </c>
      <c r="G11" s="21" t="n">
        <f aca="false">Member_Build!G8*Drivers!$E$38*Drivers!$E$37</f>
        <v>17045.4545454545</v>
      </c>
      <c r="H11" s="21" t="n">
        <f aca="false">Member_Build!H8*Drivers!$E$38*Drivers!$E$37</f>
        <v>19772.7272727273</v>
      </c>
      <c r="I11" s="21" t="n">
        <f aca="false">Member_Build!I8*Drivers!$E$38*Drivers!$E$37</f>
        <v>22500</v>
      </c>
      <c r="J11" s="21" t="n">
        <f aca="false">Member_Build!J8*Drivers!$E$38*Drivers!$E$37</f>
        <v>25227.2727272727</v>
      </c>
      <c r="K11" s="21" t="n">
        <f aca="false">Member_Build!K8*Drivers!$E$38*Drivers!$E$37</f>
        <v>27954.5454545455</v>
      </c>
      <c r="L11" s="21" t="n">
        <f aca="false">Member_Build!L8*Drivers!$E$38*Drivers!$E$37</f>
        <v>30681.8181818182</v>
      </c>
      <c r="M11" s="21" t="n">
        <f aca="false">Member_Build!M8*Drivers!$E$38*Drivers!$E$37</f>
        <v>33409.0909090909</v>
      </c>
      <c r="N11" s="21" t="n">
        <f aca="false">Member_Build!N8*Drivers!$E$38*Drivers!$E$37</f>
        <v>36136.3636363636</v>
      </c>
      <c r="O11" s="21" t="n">
        <f aca="false">Member_Build!O8*Drivers!$E$38*Drivers!$E$37</f>
        <v>39843.75</v>
      </c>
      <c r="P11" s="21" t="n">
        <f aca="false">Member_Build!P8*Drivers!$E$38*Drivers!$E$37</f>
        <v>44531.25</v>
      </c>
      <c r="Q11" s="21" t="n">
        <f aca="false">Member_Build!Q8*Drivers!$E$38*Drivers!$E$37</f>
        <v>49218.75</v>
      </c>
      <c r="R11" s="21" t="n">
        <f aca="false">Member_Build!R8*Drivers!$E$38*Drivers!$E$37</f>
        <v>53906.25</v>
      </c>
      <c r="S11" s="21" t="n">
        <f aca="false">Member_Build!S8*Drivers!$E$38*Drivers!$E$37</f>
        <v>58593.75</v>
      </c>
      <c r="T11" s="21" t="n">
        <f aca="false">Member_Build!T8*Drivers!$E$38*Drivers!$E$37</f>
        <v>63281.25</v>
      </c>
      <c r="U11" s="21" t="n">
        <f aca="false">Member_Build!U8*Drivers!$E$38*Drivers!$E$37</f>
        <v>67968.75</v>
      </c>
      <c r="V11" s="21" t="n">
        <f aca="false">Member_Build!V8*Drivers!$E$38*Drivers!$E$37</f>
        <v>72656.25</v>
      </c>
      <c r="W11" s="21" t="n">
        <f aca="false">Member_Build!W8*Drivers!$E$38*Drivers!$E$37</f>
        <v>77343.75</v>
      </c>
      <c r="X11" s="21" t="n">
        <f aca="false">Member_Build!X8*Drivers!$E$38*Drivers!$E$37</f>
        <v>82031.25</v>
      </c>
      <c r="Y11" s="21" t="n">
        <f aca="false">Member_Build!Y8*Drivers!$E$38*Drivers!$E$37</f>
        <v>86718.75</v>
      </c>
      <c r="Z11" s="21" t="n">
        <f aca="false">Member_Build!Z8*Drivers!$E$38*Drivers!$E$37</f>
        <v>91406.25</v>
      </c>
      <c r="AA11" s="21" t="n">
        <f aca="false">Member_Build!AA8*Drivers!$E$38*Drivers!$E$37</f>
        <v>97656.25</v>
      </c>
      <c r="AB11" s="21" t="n">
        <f aca="false">Member_Build!AB8*Drivers!$E$38*Drivers!$E$37</f>
        <v>105468.75</v>
      </c>
      <c r="AC11" s="21" t="n">
        <f aca="false">Member_Build!AC8*Drivers!$E$38*Drivers!$E$37</f>
        <v>113281.25</v>
      </c>
      <c r="AD11" s="21" t="n">
        <f aca="false">Member_Build!AD8*Drivers!$E$38*Drivers!$E$37</f>
        <v>121093.75</v>
      </c>
      <c r="AE11" s="21" t="n">
        <f aca="false">Member_Build!AE8*Drivers!$E$38*Drivers!$E$37</f>
        <v>128906.25</v>
      </c>
      <c r="AF11" s="21" t="n">
        <f aca="false">Member_Build!AF8*Drivers!$E$38*Drivers!$E$37</f>
        <v>136718.75</v>
      </c>
      <c r="AG11" s="21" t="n">
        <f aca="false">Member_Build!AG8*Drivers!$E$38*Drivers!$E$37</f>
        <v>144531.25</v>
      </c>
      <c r="AH11" s="21" t="n">
        <f aca="false">Member_Build!AH8*Drivers!$E$38*Drivers!$E$37</f>
        <v>152343.75</v>
      </c>
      <c r="AI11" s="21" t="n">
        <f aca="false">Member_Build!AI8*Drivers!$E$38*Drivers!$E$37</f>
        <v>160156.25</v>
      </c>
      <c r="AJ11" s="21" t="n">
        <f aca="false">Member_Build!AJ8*Drivers!$E$38*Drivers!$E$37</f>
        <v>167968.75</v>
      </c>
      <c r="AK11" s="21" t="n">
        <f aca="false">Member_Build!AK8*Drivers!$E$38*Drivers!$E$37</f>
        <v>175781.25</v>
      </c>
      <c r="AL11" s="21" t="n">
        <f aca="false">Member_Build!AL8*Drivers!$E$38*Drivers!$E$37</f>
        <v>183593.75</v>
      </c>
    </row>
    <row r="12" customFormat="false" ht="15" hidden="false" customHeight="false" outlineLevel="0" collapsed="false">
      <c r="B12" s="8" t="s">
        <v>277</v>
      </c>
      <c r="C12" s="21" t="n">
        <f aca="false">Member_Build!C8*Drivers!$E$40/12*Drivers!$E$41</f>
        <v>1000</v>
      </c>
      <c r="D12" s="21" t="n">
        <f aca="false">Member_Build!D8*Drivers!$E$40/12*Drivers!$E$41</f>
        <v>1181.81818181818</v>
      </c>
      <c r="E12" s="21" t="n">
        <f aca="false">Member_Build!E8*Drivers!$E$40/12*Drivers!$E$41</f>
        <v>1545.45454545455</v>
      </c>
      <c r="F12" s="21" t="n">
        <f aca="false">Member_Build!F8*Drivers!$E$40/12*Drivers!$E$41</f>
        <v>1909.09090909091</v>
      </c>
      <c r="G12" s="21" t="n">
        <f aca="false">Member_Build!G8*Drivers!$E$40/12*Drivers!$E$41</f>
        <v>2272.72727272727</v>
      </c>
      <c r="H12" s="21" t="n">
        <f aca="false">Member_Build!H8*Drivers!$E$40/12*Drivers!$E$41</f>
        <v>2636.36363636364</v>
      </c>
      <c r="I12" s="21" t="n">
        <f aca="false">Member_Build!I8*Drivers!$E$40/12*Drivers!$E$41</f>
        <v>3000</v>
      </c>
      <c r="J12" s="21" t="n">
        <f aca="false">Member_Build!J8*Drivers!$E$40/12*Drivers!$E$41</f>
        <v>3363.63636363636</v>
      </c>
      <c r="K12" s="21" t="n">
        <f aca="false">Member_Build!K8*Drivers!$E$40/12*Drivers!$E$41</f>
        <v>3727.27272727273</v>
      </c>
      <c r="L12" s="21" t="n">
        <f aca="false">Member_Build!L8*Drivers!$E$40/12*Drivers!$E$41</f>
        <v>4090.90909090909</v>
      </c>
      <c r="M12" s="21" t="n">
        <f aca="false">Member_Build!M8*Drivers!$E$40/12*Drivers!$E$41</f>
        <v>4454.54545454546</v>
      </c>
      <c r="N12" s="21" t="n">
        <f aca="false">Member_Build!N8*Drivers!$E$40/12*Drivers!$E$41</f>
        <v>4818.18181818182</v>
      </c>
      <c r="O12" s="21" t="n">
        <f aca="false">Member_Build!O8*Drivers!$E$40/12*Drivers!$E$41</f>
        <v>5312.5</v>
      </c>
      <c r="P12" s="21" t="n">
        <f aca="false">Member_Build!P8*Drivers!$E$40/12*Drivers!$E$41</f>
        <v>5937.5</v>
      </c>
      <c r="Q12" s="21" t="n">
        <f aca="false">Member_Build!Q8*Drivers!$E$40/12*Drivers!$E$41</f>
        <v>6562.5</v>
      </c>
      <c r="R12" s="21" t="n">
        <f aca="false">Member_Build!R8*Drivers!$E$40/12*Drivers!$E$41</f>
        <v>7187.5</v>
      </c>
      <c r="S12" s="21" t="n">
        <f aca="false">Member_Build!S8*Drivers!$E$40/12*Drivers!$E$41</f>
        <v>7812.5</v>
      </c>
      <c r="T12" s="21" t="n">
        <f aca="false">Member_Build!T8*Drivers!$E$40/12*Drivers!$E$41</f>
        <v>8437.5</v>
      </c>
      <c r="U12" s="21" t="n">
        <f aca="false">Member_Build!U8*Drivers!$E$40/12*Drivers!$E$41</f>
        <v>9062.5</v>
      </c>
      <c r="V12" s="21" t="n">
        <f aca="false">Member_Build!V8*Drivers!$E$40/12*Drivers!$E$41</f>
        <v>9687.5</v>
      </c>
      <c r="W12" s="21" t="n">
        <f aca="false">Member_Build!W8*Drivers!$E$40/12*Drivers!$E$41</f>
        <v>10312.5</v>
      </c>
      <c r="X12" s="21" t="n">
        <f aca="false">Member_Build!X8*Drivers!$E$40/12*Drivers!$E$41</f>
        <v>10937.5</v>
      </c>
      <c r="Y12" s="21" t="n">
        <f aca="false">Member_Build!Y8*Drivers!$E$40/12*Drivers!$E$41</f>
        <v>11562.5</v>
      </c>
      <c r="Z12" s="21" t="n">
        <f aca="false">Member_Build!Z8*Drivers!$E$40/12*Drivers!$E$41</f>
        <v>12187.5</v>
      </c>
      <c r="AA12" s="21" t="n">
        <f aca="false">Member_Build!AA8*Drivers!$E$40/12*Drivers!$E$41</f>
        <v>13020.8333333333</v>
      </c>
      <c r="AB12" s="21" t="n">
        <f aca="false">Member_Build!AB8*Drivers!$E$40/12*Drivers!$E$41</f>
        <v>14062.5</v>
      </c>
      <c r="AC12" s="21" t="n">
        <f aca="false">Member_Build!AC8*Drivers!$E$40/12*Drivers!$E$41</f>
        <v>15104.1666666667</v>
      </c>
      <c r="AD12" s="21" t="n">
        <f aca="false">Member_Build!AD8*Drivers!$E$40/12*Drivers!$E$41</f>
        <v>16145.8333333333</v>
      </c>
      <c r="AE12" s="21" t="n">
        <f aca="false">Member_Build!AE8*Drivers!$E$40/12*Drivers!$E$41</f>
        <v>17187.5</v>
      </c>
      <c r="AF12" s="21" t="n">
        <f aca="false">Member_Build!AF8*Drivers!$E$40/12*Drivers!$E$41</f>
        <v>18229.1666666667</v>
      </c>
      <c r="AG12" s="21" t="n">
        <f aca="false">Member_Build!AG8*Drivers!$E$40/12*Drivers!$E$41</f>
        <v>19270.8333333333</v>
      </c>
      <c r="AH12" s="21" t="n">
        <f aca="false">Member_Build!AH8*Drivers!$E$40/12*Drivers!$E$41</f>
        <v>20312.5</v>
      </c>
      <c r="AI12" s="21" t="n">
        <f aca="false">Member_Build!AI8*Drivers!$E$40/12*Drivers!$E$41</f>
        <v>21354.1666666667</v>
      </c>
      <c r="AJ12" s="21" t="n">
        <f aca="false">Member_Build!AJ8*Drivers!$E$40/12*Drivers!$E$41</f>
        <v>22395.8333333333</v>
      </c>
      <c r="AK12" s="21" t="n">
        <f aca="false">Member_Build!AK8*Drivers!$E$40/12*Drivers!$E$41</f>
        <v>23437.5</v>
      </c>
      <c r="AL12" s="21" t="n">
        <f aca="false">Member_Build!AL8*Drivers!$E$40/12*Drivers!$E$41</f>
        <v>24479.1666666667</v>
      </c>
    </row>
    <row r="13" customFormat="false" ht="15" hidden="false" customHeight="false" outlineLevel="0" collapsed="false">
      <c r="B13" s="8" t="s">
        <v>278</v>
      </c>
      <c r="C13" s="21" t="n">
        <f aca="false">Member_Build!C8*Drivers!$E$45*Drivers!$E$43*Drivers!$E$44</f>
        <v>1200</v>
      </c>
      <c r="D13" s="21" t="n">
        <f aca="false">Member_Build!D8*Drivers!$E$45*Drivers!$E$43*Drivers!$E$44</f>
        <v>1418.18181818182</v>
      </c>
      <c r="E13" s="21" t="n">
        <f aca="false">Member_Build!E8*Drivers!$E$45*Drivers!$E$43*Drivers!$E$44</f>
        <v>1854.54545454545</v>
      </c>
      <c r="F13" s="21" t="n">
        <f aca="false">Member_Build!F8*Drivers!$E$45*Drivers!$E$43*Drivers!$E$44</f>
        <v>2290.90909090909</v>
      </c>
      <c r="G13" s="21" t="n">
        <f aca="false">Member_Build!G8*Drivers!$E$45*Drivers!$E$43*Drivers!$E$44</f>
        <v>2727.27272727273</v>
      </c>
      <c r="H13" s="21" t="n">
        <f aca="false">Member_Build!H8*Drivers!$E$45*Drivers!$E$43*Drivers!$E$44</f>
        <v>3163.63636363636</v>
      </c>
      <c r="I13" s="21" t="n">
        <f aca="false">Member_Build!I8*Drivers!$E$45*Drivers!$E$43*Drivers!$E$44</f>
        <v>3600</v>
      </c>
      <c r="J13" s="21" t="n">
        <f aca="false">Member_Build!J8*Drivers!$E$45*Drivers!$E$43*Drivers!$E$44</f>
        <v>4036.36363636364</v>
      </c>
      <c r="K13" s="21" t="n">
        <f aca="false">Member_Build!K8*Drivers!$E$45*Drivers!$E$43*Drivers!$E$44</f>
        <v>4472.72727272727</v>
      </c>
      <c r="L13" s="21" t="n">
        <f aca="false">Member_Build!L8*Drivers!$E$45*Drivers!$E$43*Drivers!$E$44</f>
        <v>4909.09090909091</v>
      </c>
      <c r="M13" s="21" t="n">
        <f aca="false">Member_Build!M8*Drivers!$E$45*Drivers!$E$43*Drivers!$E$44</f>
        <v>5345.45454545455</v>
      </c>
      <c r="N13" s="21" t="n">
        <f aca="false">Member_Build!N8*Drivers!$E$45*Drivers!$E$43*Drivers!$E$44</f>
        <v>5781.81818181818</v>
      </c>
      <c r="O13" s="21" t="n">
        <f aca="false">Member_Build!O8*Drivers!$E$45*Drivers!$E$43*Drivers!$E$44</f>
        <v>6375</v>
      </c>
      <c r="P13" s="21" t="n">
        <f aca="false">Member_Build!P8*Drivers!$E$45*Drivers!$E$43*Drivers!$E$44</f>
        <v>7125</v>
      </c>
      <c r="Q13" s="21" t="n">
        <f aca="false">Member_Build!Q8*Drivers!$E$45*Drivers!$E$43*Drivers!$E$44</f>
        <v>7875</v>
      </c>
      <c r="R13" s="21" t="n">
        <f aca="false">Member_Build!R8*Drivers!$E$45*Drivers!$E$43*Drivers!$E$44</f>
        <v>8625</v>
      </c>
      <c r="S13" s="21" t="n">
        <f aca="false">Member_Build!S8*Drivers!$E$45*Drivers!$E$43*Drivers!$E$44</f>
        <v>9375</v>
      </c>
      <c r="T13" s="21" t="n">
        <f aca="false">Member_Build!T8*Drivers!$E$45*Drivers!$E$43*Drivers!$E$44</f>
        <v>10125</v>
      </c>
      <c r="U13" s="21" t="n">
        <f aca="false">Member_Build!U8*Drivers!$E$45*Drivers!$E$43*Drivers!$E$44</f>
        <v>10875</v>
      </c>
      <c r="V13" s="21" t="n">
        <f aca="false">Member_Build!V8*Drivers!$E$45*Drivers!$E$43*Drivers!$E$44</f>
        <v>11625</v>
      </c>
      <c r="W13" s="21" t="n">
        <f aca="false">Member_Build!W8*Drivers!$E$45*Drivers!$E$43*Drivers!$E$44</f>
        <v>12375</v>
      </c>
      <c r="X13" s="21" t="n">
        <f aca="false">Member_Build!X8*Drivers!$E$45*Drivers!$E$43*Drivers!$E$44</f>
        <v>13125</v>
      </c>
      <c r="Y13" s="21" t="n">
        <f aca="false">Member_Build!Y8*Drivers!$E$45*Drivers!$E$43*Drivers!$E$44</f>
        <v>13875</v>
      </c>
      <c r="Z13" s="21" t="n">
        <f aca="false">Member_Build!Z8*Drivers!$E$45*Drivers!$E$43*Drivers!$E$44</f>
        <v>14625</v>
      </c>
      <c r="AA13" s="21" t="n">
        <f aca="false">Member_Build!AA8*Drivers!$E$45*Drivers!$E$43*Drivers!$E$44</f>
        <v>15625</v>
      </c>
      <c r="AB13" s="21" t="n">
        <f aca="false">Member_Build!AB8*Drivers!$E$45*Drivers!$E$43*Drivers!$E$44</f>
        <v>16875</v>
      </c>
      <c r="AC13" s="21" t="n">
        <f aca="false">Member_Build!AC8*Drivers!$E$45*Drivers!$E$43*Drivers!$E$44</f>
        <v>18125</v>
      </c>
      <c r="AD13" s="21" t="n">
        <f aca="false">Member_Build!AD8*Drivers!$E$45*Drivers!$E$43*Drivers!$E$44</f>
        <v>19375</v>
      </c>
      <c r="AE13" s="21" t="n">
        <f aca="false">Member_Build!AE8*Drivers!$E$45*Drivers!$E$43*Drivers!$E$44</f>
        <v>20625</v>
      </c>
      <c r="AF13" s="21" t="n">
        <f aca="false">Member_Build!AF8*Drivers!$E$45*Drivers!$E$43*Drivers!$E$44</f>
        <v>21875</v>
      </c>
      <c r="AG13" s="21" t="n">
        <f aca="false">Member_Build!AG8*Drivers!$E$45*Drivers!$E$43*Drivers!$E$44</f>
        <v>23125</v>
      </c>
      <c r="AH13" s="21" t="n">
        <f aca="false">Member_Build!AH8*Drivers!$E$45*Drivers!$E$43*Drivers!$E$44</f>
        <v>24375</v>
      </c>
      <c r="AI13" s="21" t="n">
        <f aca="false">Member_Build!AI8*Drivers!$E$45*Drivers!$E$43*Drivers!$E$44</f>
        <v>25625</v>
      </c>
      <c r="AJ13" s="21" t="n">
        <f aca="false">Member_Build!AJ8*Drivers!$E$45*Drivers!$E$43*Drivers!$E$44</f>
        <v>26875</v>
      </c>
      <c r="AK13" s="21" t="n">
        <f aca="false">Member_Build!AK8*Drivers!$E$45*Drivers!$E$43*Drivers!$E$44</f>
        <v>28125</v>
      </c>
      <c r="AL13" s="21" t="n">
        <f aca="false">Member_Build!AL8*Drivers!$E$45*Drivers!$E$43*Drivers!$E$44</f>
        <v>29375</v>
      </c>
    </row>
    <row r="14" customFormat="false" ht="15" hidden="false" customHeight="false" outlineLevel="0" collapsed="false">
      <c r="B14" s="8" t="s">
        <v>279</v>
      </c>
      <c r="C14" s="21" t="n">
        <f aca="false">Member_Build!C8*Drivers!$E$48*Drivers!$E$47</f>
        <v>3000</v>
      </c>
      <c r="D14" s="21" t="n">
        <f aca="false">Member_Build!D8*Drivers!$E$48*Drivers!$E$47</f>
        <v>3545.45454545455</v>
      </c>
      <c r="E14" s="21" t="n">
        <f aca="false">Member_Build!E8*Drivers!$E$48*Drivers!$E$47</f>
        <v>4636.36363636364</v>
      </c>
      <c r="F14" s="21" t="n">
        <f aca="false">Member_Build!F8*Drivers!$E$48*Drivers!$E$47</f>
        <v>5727.27272727273</v>
      </c>
      <c r="G14" s="21" t="n">
        <f aca="false">Member_Build!G8*Drivers!$E$48*Drivers!$E$47</f>
        <v>6818.18181818182</v>
      </c>
      <c r="H14" s="21" t="n">
        <f aca="false">Member_Build!H8*Drivers!$E$48*Drivers!$E$47</f>
        <v>7909.09090909091</v>
      </c>
      <c r="I14" s="21" t="n">
        <f aca="false">Member_Build!I8*Drivers!$E$48*Drivers!$E$47</f>
        <v>9000</v>
      </c>
      <c r="J14" s="21" t="n">
        <f aca="false">Member_Build!J8*Drivers!$E$48*Drivers!$E$47</f>
        <v>10090.9090909091</v>
      </c>
      <c r="K14" s="21" t="n">
        <f aca="false">Member_Build!K8*Drivers!$E$48*Drivers!$E$47</f>
        <v>11181.8181818182</v>
      </c>
      <c r="L14" s="21" t="n">
        <f aca="false">Member_Build!L8*Drivers!$E$48*Drivers!$E$47</f>
        <v>12272.7272727273</v>
      </c>
      <c r="M14" s="21" t="n">
        <f aca="false">Member_Build!M8*Drivers!$E$48*Drivers!$E$47</f>
        <v>13363.6363636364</v>
      </c>
      <c r="N14" s="21" t="n">
        <f aca="false">Member_Build!N8*Drivers!$E$48*Drivers!$E$47</f>
        <v>14454.5454545455</v>
      </c>
      <c r="O14" s="21" t="n">
        <f aca="false">Member_Build!O8*Drivers!$E$48*Drivers!$E$47</f>
        <v>15937.5</v>
      </c>
      <c r="P14" s="21" t="n">
        <f aca="false">Member_Build!P8*Drivers!$E$48*Drivers!$E$47</f>
        <v>17812.5</v>
      </c>
      <c r="Q14" s="21" t="n">
        <f aca="false">Member_Build!Q8*Drivers!$E$48*Drivers!$E$47</f>
        <v>19687.5</v>
      </c>
      <c r="R14" s="21" t="n">
        <f aca="false">Member_Build!R8*Drivers!$E$48*Drivers!$E$47</f>
        <v>21562.5</v>
      </c>
      <c r="S14" s="21" t="n">
        <f aca="false">Member_Build!S8*Drivers!$E$48*Drivers!$E$47</f>
        <v>23437.5</v>
      </c>
      <c r="T14" s="21" t="n">
        <f aca="false">Member_Build!T8*Drivers!$E$48*Drivers!$E$47</f>
        <v>25312.5</v>
      </c>
      <c r="U14" s="21" t="n">
        <f aca="false">Member_Build!U8*Drivers!$E$48*Drivers!$E$47</f>
        <v>27187.5</v>
      </c>
      <c r="V14" s="21" t="n">
        <f aca="false">Member_Build!V8*Drivers!$E$48*Drivers!$E$47</f>
        <v>29062.5</v>
      </c>
      <c r="W14" s="21" t="n">
        <f aca="false">Member_Build!W8*Drivers!$E$48*Drivers!$E$47</f>
        <v>30937.5</v>
      </c>
      <c r="X14" s="21" t="n">
        <f aca="false">Member_Build!X8*Drivers!$E$48*Drivers!$E$47</f>
        <v>32812.5</v>
      </c>
      <c r="Y14" s="21" t="n">
        <f aca="false">Member_Build!Y8*Drivers!$E$48*Drivers!$E$47</f>
        <v>34687.5</v>
      </c>
      <c r="Z14" s="21" t="n">
        <f aca="false">Member_Build!Z8*Drivers!$E$48*Drivers!$E$47</f>
        <v>36562.5</v>
      </c>
      <c r="AA14" s="21" t="n">
        <f aca="false">Member_Build!AA8*Drivers!$E$48*Drivers!$E$47</f>
        <v>39062.5</v>
      </c>
      <c r="AB14" s="21" t="n">
        <f aca="false">Member_Build!AB8*Drivers!$E$48*Drivers!$E$47</f>
        <v>42187.5</v>
      </c>
      <c r="AC14" s="21" t="n">
        <f aca="false">Member_Build!AC8*Drivers!$E$48*Drivers!$E$47</f>
        <v>45312.5</v>
      </c>
      <c r="AD14" s="21" t="n">
        <f aca="false">Member_Build!AD8*Drivers!$E$48*Drivers!$E$47</f>
        <v>48437.5</v>
      </c>
      <c r="AE14" s="21" t="n">
        <f aca="false">Member_Build!AE8*Drivers!$E$48*Drivers!$E$47</f>
        <v>51562.5</v>
      </c>
      <c r="AF14" s="21" t="n">
        <f aca="false">Member_Build!AF8*Drivers!$E$48*Drivers!$E$47</f>
        <v>54687.5</v>
      </c>
      <c r="AG14" s="21" t="n">
        <f aca="false">Member_Build!AG8*Drivers!$E$48*Drivers!$E$47</f>
        <v>57812.5</v>
      </c>
      <c r="AH14" s="21" t="n">
        <f aca="false">Member_Build!AH8*Drivers!$E$48*Drivers!$E$47</f>
        <v>60937.5</v>
      </c>
      <c r="AI14" s="21" t="n">
        <f aca="false">Member_Build!AI8*Drivers!$E$48*Drivers!$E$47</f>
        <v>64062.5</v>
      </c>
      <c r="AJ14" s="21" t="n">
        <f aca="false">Member_Build!AJ8*Drivers!$E$48*Drivers!$E$47</f>
        <v>67187.5</v>
      </c>
      <c r="AK14" s="21" t="n">
        <f aca="false">Member_Build!AK8*Drivers!$E$48*Drivers!$E$47</f>
        <v>70312.5</v>
      </c>
      <c r="AL14" s="21" t="n">
        <f aca="false">Member_Build!AL8*Drivers!$E$48*Drivers!$E$47</f>
        <v>73437.5</v>
      </c>
    </row>
    <row r="15" customFormat="false" ht="15" hidden="false" customHeight="false" outlineLevel="0" collapsed="false">
      <c r="B15" s="8" t="s">
        <v>280</v>
      </c>
      <c r="C15" s="21" t="n">
        <f aca="false">Member_Build!C8*Drivers!$E$51*Drivers!$E$50</f>
        <v>1700</v>
      </c>
      <c r="D15" s="21" t="n">
        <f aca="false">Member_Build!D8*Drivers!$E$51*Drivers!$E$50</f>
        <v>2009.09090909091</v>
      </c>
      <c r="E15" s="21" t="n">
        <f aca="false">Member_Build!E8*Drivers!$E$51*Drivers!$E$50</f>
        <v>2627.27272727273</v>
      </c>
      <c r="F15" s="21" t="n">
        <f aca="false">Member_Build!F8*Drivers!$E$51*Drivers!$E$50</f>
        <v>3245.45454545455</v>
      </c>
      <c r="G15" s="21" t="n">
        <f aca="false">Member_Build!G8*Drivers!$E$51*Drivers!$E$50</f>
        <v>3863.63636363636</v>
      </c>
      <c r="H15" s="21" t="n">
        <f aca="false">Member_Build!H8*Drivers!$E$51*Drivers!$E$50</f>
        <v>4481.81818181818</v>
      </c>
      <c r="I15" s="21" t="n">
        <f aca="false">Member_Build!I8*Drivers!$E$51*Drivers!$E$50</f>
        <v>5100</v>
      </c>
      <c r="J15" s="21" t="n">
        <f aca="false">Member_Build!J8*Drivers!$E$51*Drivers!$E$50</f>
        <v>5718.18181818182</v>
      </c>
      <c r="K15" s="21" t="n">
        <f aca="false">Member_Build!K8*Drivers!$E$51*Drivers!$E$50</f>
        <v>6336.36363636364</v>
      </c>
      <c r="L15" s="21" t="n">
        <f aca="false">Member_Build!L8*Drivers!$E$51*Drivers!$E$50</f>
        <v>6954.54545454545</v>
      </c>
      <c r="M15" s="21" t="n">
        <f aca="false">Member_Build!M8*Drivers!$E$51*Drivers!$E$50</f>
        <v>7572.72727272727</v>
      </c>
      <c r="N15" s="21" t="n">
        <f aca="false">Member_Build!N8*Drivers!$E$51*Drivers!$E$50</f>
        <v>8190.90909090909</v>
      </c>
      <c r="O15" s="21" t="n">
        <f aca="false">Member_Build!O8*Drivers!$E$51*Drivers!$E$50</f>
        <v>9031.25</v>
      </c>
      <c r="P15" s="21" t="n">
        <f aca="false">Member_Build!P8*Drivers!$E$51*Drivers!$E$50</f>
        <v>10093.75</v>
      </c>
      <c r="Q15" s="21" t="n">
        <f aca="false">Member_Build!Q8*Drivers!$E$51*Drivers!$E$50</f>
        <v>11156.25</v>
      </c>
      <c r="R15" s="21" t="n">
        <f aca="false">Member_Build!R8*Drivers!$E$51*Drivers!$E$50</f>
        <v>12218.75</v>
      </c>
      <c r="S15" s="21" t="n">
        <f aca="false">Member_Build!S8*Drivers!$E$51*Drivers!$E$50</f>
        <v>13281.25</v>
      </c>
      <c r="T15" s="21" t="n">
        <f aca="false">Member_Build!T8*Drivers!$E$51*Drivers!$E$50</f>
        <v>14343.75</v>
      </c>
      <c r="U15" s="21" t="n">
        <f aca="false">Member_Build!U8*Drivers!$E$51*Drivers!$E$50</f>
        <v>15406.25</v>
      </c>
      <c r="V15" s="21" t="n">
        <f aca="false">Member_Build!V8*Drivers!$E$51*Drivers!$E$50</f>
        <v>16468.75</v>
      </c>
      <c r="W15" s="21" t="n">
        <f aca="false">Member_Build!W8*Drivers!$E$51*Drivers!$E$50</f>
        <v>17531.25</v>
      </c>
      <c r="X15" s="21" t="n">
        <f aca="false">Member_Build!X8*Drivers!$E$51*Drivers!$E$50</f>
        <v>18593.75</v>
      </c>
      <c r="Y15" s="21" t="n">
        <f aca="false">Member_Build!Y8*Drivers!$E$51*Drivers!$E$50</f>
        <v>19656.25</v>
      </c>
      <c r="Z15" s="21" t="n">
        <f aca="false">Member_Build!Z8*Drivers!$E$51*Drivers!$E$50</f>
        <v>20718.75</v>
      </c>
      <c r="AA15" s="21" t="n">
        <f aca="false">Member_Build!AA8*Drivers!$E$51*Drivers!$E$50</f>
        <v>22135.4166666667</v>
      </c>
      <c r="AB15" s="21" t="n">
        <f aca="false">Member_Build!AB8*Drivers!$E$51*Drivers!$E$50</f>
        <v>23906.25</v>
      </c>
      <c r="AC15" s="21" t="n">
        <f aca="false">Member_Build!AC8*Drivers!$E$51*Drivers!$E$50</f>
        <v>25677.0833333333</v>
      </c>
      <c r="AD15" s="21" t="n">
        <f aca="false">Member_Build!AD8*Drivers!$E$51*Drivers!$E$50</f>
        <v>27447.9166666667</v>
      </c>
      <c r="AE15" s="21" t="n">
        <f aca="false">Member_Build!AE8*Drivers!$E$51*Drivers!$E$50</f>
        <v>29218.75</v>
      </c>
      <c r="AF15" s="21" t="n">
        <f aca="false">Member_Build!AF8*Drivers!$E$51*Drivers!$E$50</f>
        <v>30989.5833333333</v>
      </c>
      <c r="AG15" s="21" t="n">
        <f aca="false">Member_Build!AG8*Drivers!$E$51*Drivers!$E$50</f>
        <v>32760.4166666667</v>
      </c>
      <c r="AH15" s="21" t="n">
        <f aca="false">Member_Build!AH8*Drivers!$E$51*Drivers!$E$50</f>
        <v>34531.25</v>
      </c>
      <c r="AI15" s="21" t="n">
        <f aca="false">Member_Build!AI8*Drivers!$E$51*Drivers!$E$50</f>
        <v>36302.0833333333</v>
      </c>
      <c r="AJ15" s="21" t="n">
        <f aca="false">Member_Build!AJ8*Drivers!$E$51*Drivers!$E$50</f>
        <v>38072.9166666667</v>
      </c>
      <c r="AK15" s="21" t="n">
        <f aca="false">Member_Build!AK8*Drivers!$E$51*Drivers!$E$50</f>
        <v>39843.75</v>
      </c>
      <c r="AL15" s="21" t="n">
        <f aca="false">Member_Build!AL8*Drivers!$E$51*Drivers!$E$50</f>
        <v>41614.5833333333</v>
      </c>
    </row>
    <row r="16" customFormat="false" ht="15" hidden="false" customHeight="false" outlineLevel="0" collapsed="false">
      <c r="B16" s="10" t="s">
        <v>281</v>
      </c>
      <c r="C16" s="30" t="n">
        <f aca="false">SUM(C11:C15)</f>
        <v>14400</v>
      </c>
      <c r="D16" s="30" t="n">
        <f aca="false">SUM(D11:D15)</f>
        <v>17018.1818181818</v>
      </c>
      <c r="E16" s="30" t="n">
        <f aca="false">SUM(E11:E15)</f>
        <v>22254.5454545455</v>
      </c>
      <c r="F16" s="30" t="n">
        <f aca="false">SUM(F11:F15)</f>
        <v>27490.9090909091</v>
      </c>
      <c r="G16" s="30" t="n">
        <f aca="false">SUM(G11:G15)</f>
        <v>32727.2727272727</v>
      </c>
      <c r="H16" s="30" t="n">
        <f aca="false">SUM(H11:H15)</f>
        <v>37963.6363636364</v>
      </c>
      <c r="I16" s="30" t="n">
        <f aca="false">SUM(I11:I15)</f>
        <v>43200</v>
      </c>
      <c r="J16" s="30" t="n">
        <f aca="false">SUM(J11:J15)</f>
        <v>48436.3636363636</v>
      </c>
      <c r="K16" s="30" t="n">
        <f aca="false">SUM(K11:K15)</f>
        <v>53672.7272727273</v>
      </c>
      <c r="L16" s="30" t="n">
        <f aca="false">SUM(L11:L15)</f>
        <v>58909.0909090909</v>
      </c>
      <c r="M16" s="30" t="n">
        <f aca="false">SUM(M11:M15)</f>
        <v>64145.4545454545</v>
      </c>
      <c r="N16" s="30" t="n">
        <f aca="false">SUM(N11:N15)</f>
        <v>69381.8181818182</v>
      </c>
      <c r="O16" s="30" t="n">
        <f aca="false">SUM(O11:O15)</f>
        <v>76500</v>
      </c>
      <c r="P16" s="30" t="n">
        <f aca="false">SUM(P11:P15)</f>
        <v>85500</v>
      </c>
      <c r="Q16" s="30" t="n">
        <f aca="false">SUM(Q11:Q15)</f>
        <v>94500</v>
      </c>
      <c r="R16" s="30" t="n">
        <f aca="false">SUM(R11:R15)</f>
        <v>103500</v>
      </c>
      <c r="S16" s="30" t="n">
        <f aca="false">SUM(S11:S15)</f>
        <v>112500</v>
      </c>
      <c r="T16" s="30" t="n">
        <f aca="false">SUM(T11:T15)</f>
        <v>121500</v>
      </c>
      <c r="U16" s="30" t="n">
        <f aca="false">SUM(U11:U15)</f>
        <v>130500</v>
      </c>
      <c r="V16" s="30" t="n">
        <f aca="false">SUM(V11:V15)</f>
        <v>139500</v>
      </c>
      <c r="W16" s="30" t="n">
        <f aca="false">SUM(W11:W15)</f>
        <v>148500</v>
      </c>
      <c r="X16" s="30" t="n">
        <f aca="false">SUM(X11:X15)</f>
        <v>157500</v>
      </c>
      <c r="Y16" s="30" t="n">
        <f aca="false">SUM(Y11:Y15)</f>
        <v>166500</v>
      </c>
      <c r="Z16" s="30" t="n">
        <f aca="false">SUM(Z11:Z15)</f>
        <v>175500</v>
      </c>
      <c r="AA16" s="30" t="n">
        <f aca="false">SUM(AA11:AA15)</f>
        <v>187500</v>
      </c>
      <c r="AB16" s="30" t="n">
        <f aca="false">SUM(AB11:AB15)</f>
        <v>202500</v>
      </c>
      <c r="AC16" s="30" t="n">
        <f aca="false">SUM(AC11:AC15)</f>
        <v>217500</v>
      </c>
      <c r="AD16" s="30" t="n">
        <f aca="false">SUM(AD11:AD15)</f>
        <v>232500</v>
      </c>
      <c r="AE16" s="30" t="n">
        <f aca="false">SUM(AE11:AE15)</f>
        <v>247500</v>
      </c>
      <c r="AF16" s="30" t="n">
        <f aca="false">SUM(AF11:AF15)</f>
        <v>262500</v>
      </c>
      <c r="AG16" s="30" t="n">
        <f aca="false">SUM(AG11:AG15)</f>
        <v>277500</v>
      </c>
      <c r="AH16" s="30" t="n">
        <f aca="false">SUM(AH11:AH15)</f>
        <v>292500</v>
      </c>
      <c r="AI16" s="30" t="n">
        <f aca="false">SUM(AI11:AI15)</f>
        <v>307500</v>
      </c>
      <c r="AJ16" s="30" t="n">
        <f aca="false">SUM(AJ11:AJ15)</f>
        <v>322500</v>
      </c>
      <c r="AK16" s="30" t="n">
        <f aca="false">SUM(AK11:AK15)</f>
        <v>337500</v>
      </c>
      <c r="AL16" s="30" t="n">
        <f aca="false">SUM(AL11:AL15)</f>
        <v>352500</v>
      </c>
    </row>
    <row r="17" customFormat="false" ht="15" hidden="false" customHeight="false" outlineLevel="0" collapsed="false">
      <c r="B17" s="10" t="s">
        <v>282</v>
      </c>
      <c r="C17" s="30" t="n">
        <f aca="false">C8+C9+C16</f>
        <v>89945.1947011869</v>
      </c>
      <c r="D17" s="30" t="n">
        <f aca="false">D8+D9+D16</f>
        <v>142662.502828675</v>
      </c>
      <c r="E17" s="30" t="n">
        <f aca="false">E8+E9+E16</f>
        <v>175369.84635638</v>
      </c>
      <c r="F17" s="30" t="n">
        <f aca="false">F8+F9+F16</f>
        <v>208077.189884084</v>
      </c>
      <c r="G17" s="30" t="n">
        <f aca="false">G8+G9+G16</f>
        <v>240784.533411788</v>
      </c>
      <c r="H17" s="30" t="n">
        <f aca="false">H8+H9+H16</f>
        <v>273491.876939493</v>
      </c>
      <c r="I17" s="30" t="n">
        <f aca="false">I8+I9+I16</f>
        <v>306199.220467197</v>
      </c>
      <c r="J17" s="30" t="n">
        <f aca="false">J8+J9+J16</f>
        <v>338906.563994901</v>
      </c>
      <c r="K17" s="30" t="n">
        <f aca="false">K8+K9+K16</f>
        <v>371613.907522606</v>
      </c>
      <c r="L17" s="30" t="n">
        <f aca="false">L8+L9+L16</f>
        <v>404321.25105031</v>
      </c>
      <c r="M17" s="30" t="n">
        <f aca="false">M8+M9+M16</f>
        <v>437028.594578014</v>
      </c>
      <c r="N17" s="30" t="n">
        <f aca="false">N8+N9+N16</f>
        <v>469735.938105719</v>
      </c>
      <c r="O17" s="30" t="n">
        <f aca="false">O8+O9+O16</f>
        <v>540333.846850055</v>
      </c>
      <c r="P17" s="30" t="n">
        <f aca="false">P8+P9+P16</f>
        <v>596549.593538297</v>
      </c>
      <c r="Q17" s="30" t="n">
        <f aca="false">Q8+Q9+Q16</f>
        <v>652765.340226539</v>
      </c>
      <c r="R17" s="30" t="n">
        <f aca="false">R8+R9+R16</f>
        <v>708981.086914781</v>
      </c>
      <c r="S17" s="30" t="n">
        <f aca="false">S8+S9+S16</f>
        <v>765196.833603023</v>
      </c>
      <c r="T17" s="30" t="n">
        <f aca="false">T8+T9+T16</f>
        <v>821412.580291265</v>
      </c>
      <c r="U17" s="30" t="n">
        <f aca="false">U8+U9+U16</f>
        <v>877628.326979506</v>
      </c>
      <c r="V17" s="30" t="n">
        <f aca="false">V8+V9+V16</f>
        <v>933844.073667748</v>
      </c>
      <c r="W17" s="30" t="n">
        <f aca="false">W8+W9+W16</f>
        <v>990059.82035599</v>
      </c>
      <c r="X17" s="30" t="n">
        <f aca="false">X8+X9+X16</f>
        <v>1046275.56704423</v>
      </c>
      <c r="Y17" s="30" t="n">
        <f aca="false">Y8+Y9+Y16</f>
        <v>1102491.31373247</v>
      </c>
      <c r="Z17" s="30" t="n">
        <f aca="false">Z8+Z9+Z16</f>
        <v>1158707.06042072</v>
      </c>
      <c r="AA17" s="30" t="n">
        <f aca="false">AA8+AA9+AA16</f>
        <v>1275328.05600504</v>
      </c>
      <c r="AB17" s="30" t="n">
        <f aca="false">AB8+AB9+AB16</f>
        <v>1369020.96715211</v>
      </c>
      <c r="AC17" s="30" t="n">
        <f aca="false">AC8+AC9+AC16</f>
        <v>1462713.87829918</v>
      </c>
      <c r="AD17" s="30" t="n">
        <f aca="false">AD8+AD9+AD16</f>
        <v>1556406.78944625</v>
      </c>
      <c r="AE17" s="30" t="n">
        <f aca="false">AE8+AE9+AE16</f>
        <v>1650099.70059332</v>
      </c>
      <c r="AF17" s="30" t="n">
        <f aca="false">AF8+AF9+AF16</f>
        <v>1743792.61174039</v>
      </c>
      <c r="AG17" s="30" t="n">
        <f aca="false">AG8+AG9+AG16</f>
        <v>1837485.52288746</v>
      </c>
      <c r="AH17" s="30" t="n">
        <f aca="false">AH8+AH9+AH16</f>
        <v>1931178.43403453</v>
      </c>
      <c r="AI17" s="30" t="n">
        <f aca="false">AI8+AI9+AI16</f>
        <v>2024871.3451816</v>
      </c>
      <c r="AJ17" s="30" t="n">
        <f aca="false">AJ8+AJ9+AJ16</f>
        <v>2118564.25632867</v>
      </c>
      <c r="AK17" s="30" t="n">
        <f aca="false">AK8+AK9+AK16</f>
        <v>2212257.16747573</v>
      </c>
      <c r="AL17" s="30" t="n">
        <f aca="false">AL8+AL9+AL16</f>
        <v>2305950.0786228</v>
      </c>
    </row>
    <row r="19" customFormat="false" ht="15" hidden="false" customHeight="false" outlineLevel="0" collapsed="false">
      <c r="B19" s="10" t="s">
        <v>283</v>
      </c>
      <c r="C19" s="30" t="n">
        <f aca="false">Member_Build!C16*Drivers!$E$27</f>
        <v>2500</v>
      </c>
      <c r="D19" s="30" t="n">
        <f aca="false">Member_Build!D16*Drivers!$E$27</f>
        <v>4659.09090909091</v>
      </c>
      <c r="E19" s="30" t="n">
        <f aca="false">Member_Build!E16*Drivers!$E$27</f>
        <v>8977.27272727273</v>
      </c>
      <c r="F19" s="30" t="n">
        <f aca="false">Member_Build!F16*Drivers!$E$27</f>
        <v>13295.4545454545</v>
      </c>
      <c r="G19" s="30" t="n">
        <f aca="false">Member_Build!G16*Drivers!$E$27</f>
        <v>17613.6363636364</v>
      </c>
      <c r="H19" s="30" t="n">
        <f aca="false">Member_Build!H16*Drivers!$E$27</f>
        <v>21931.8181818182</v>
      </c>
      <c r="I19" s="30" t="n">
        <f aca="false">Member_Build!I16*Drivers!$E$27</f>
        <v>26250</v>
      </c>
      <c r="J19" s="30" t="n">
        <f aca="false">Member_Build!J16*Drivers!$E$27</f>
        <v>30568.1818181818</v>
      </c>
      <c r="K19" s="30" t="n">
        <f aca="false">Member_Build!K16*Drivers!$E$27</f>
        <v>34886.3636363636</v>
      </c>
      <c r="L19" s="30" t="n">
        <f aca="false">Member_Build!L16*Drivers!$E$27</f>
        <v>39204.5454545455</v>
      </c>
      <c r="M19" s="30" t="n">
        <f aca="false">Member_Build!M16*Drivers!$E$27</f>
        <v>43522.7272727273</v>
      </c>
      <c r="N19" s="30" t="n">
        <f aca="false">Member_Build!N16*Drivers!$E$27</f>
        <v>47840.9090909091</v>
      </c>
      <c r="O19" s="30" t="n">
        <f aca="false">Member_Build!O16*Drivers!$E$27</f>
        <v>54166.6666666667</v>
      </c>
      <c r="P19" s="30" t="n">
        <f aca="false">Member_Build!P16*Drivers!$E$27</f>
        <v>62500</v>
      </c>
      <c r="Q19" s="30" t="n">
        <f aca="false">Member_Build!Q16*Drivers!$E$27</f>
        <v>70833.3333333333</v>
      </c>
      <c r="R19" s="30" t="n">
        <f aca="false">Member_Build!R16*Drivers!$E$27</f>
        <v>79166.6666666667</v>
      </c>
      <c r="S19" s="30" t="n">
        <f aca="false">Member_Build!S16*Drivers!$E$27</f>
        <v>87500</v>
      </c>
      <c r="T19" s="30" t="n">
        <f aca="false">Member_Build!T16*Drivers!$E$27</f>
        <v>95833.3333333333</v>
      </c>
      <c r="U19" s="30" t="n">
        <f aca="false">Member_Build!U16*Drivers!$E$27</f>
        <v>104166.666666667</v>
      </c>
      <c r="V19" s="30" t="n">
        <f aca="false">Member_Build!V16*Drivers!$E$27</f>
        <v>112500</v>
      </c>
      <c r="W19" s="30" t="n">
        <f aca="false">Member_Build!W16*Drivers!$E$27</f>
        <v>120833.333333333</v>
      </c>
      <c r="X19" s="30" t="n">
        <f aca="false">Member_Build!X16*Drivers!$E$27</f>
        <v>129166.666666667</v>
      </c>
      <c r="Y19" s="30" t="n">
        <f aca="false">Member_Build!Y16*Drivers!$E$27</f>
        <v>137500</v>
      </c>
      <c r="Z19" s="30" t="n">
        <f aca="false">Member_Build!Z16*Drivers!$E$27</f>
        <v>145833.333333333</v>
      </c>
      <c r="AA19" s="30" t="n">
        <f aca="false">Member_Build!AA16*Drivers!$E$27</f>
        <v>156250</v>
      </c>
      <c r="AB19" s="30" t="n">
        <f aca="false">Member_Build!AB16*Drivers!$E$27</f>
        <v>168750</v>
      </c>
      <c r="AC19" s="30" t="n">
        <f aca="false">Member_Build!AC16*Drivers!$E$27</f>
        <v>181250</v>
      </c>
      <c r="AD19" s="30" t="n">
        <f aca="false">Member_Build!AD16*Drivers!$E$27</f>
        <v>193750</v>
      </c>
      <c r="AE19" s="30" t="n">
        <f aca="false">Member_Build!AE16*Drivers!$E$27</f>
        <v>206250</v>
      </c>
      <c r="AF19" s="30" t="n">
        <f aca="false">Member_Build!AF16*Drivers!$E$27</f>
        <v>218750</v>
      </c>
      <c r="AG19" s="30" t="n">
        <f aca="false">Member_Build!AG16*Drivers!$E$27</f>
        <v>231250</v>
      </c>
      <c r="AH19" s="30" t="n">
        <f aca="false">Member_Build!AH16*Drivers!$E$27</f>
        <v>243750</v>
      </c>
      <c r="AI19" s="30" t="n">
        <f aca="false">Member_Build!AI16*Drivers!$E$27</f>
        <v>256250</v>
      </c>
      <c r="AJ19" s="30" t="n">
        <f aca="false">Member_Build!AJ16*Drivers!$E$27</f>
        <v>268750</v>
      </c>
      <c r="AK19" s="30" t="n">
        <f aca="false">Member_Build!AK16*Drivers!$E$27</f>
        <v>281250</v>
      </c>
      <c r="AL19" s="30" t="n">
        <f aca="false">Member_Build!AL16*Drivers!$E$27</f>
        <v>293750</v>
      </c>
    </row>
    <row r="21" customFormat="false" ht="15" hidden="false" customHeight="false" outlineLevel="0" collapsed="false">
      <c r="B21" s="10" t="s">
        <v>284</v>
      </c>
      <c r="C21" s="30" t="n">
        <f aca="false">C17+C19</f>
        <v>92445.1947011869</v>
      </c>
      <c r="D21" s="30" t="n">
        <f aca="false">D17+D19</f>
        <v>147321.593737766</v>
      </c>
      <c r="E21" s="30" t="n">
        <f aca="false">E17+E19</f>
        <v>184347.119083652</v>
      </c>
      <c r="F21" s="30" t="n">
        <f aca="false">F17+F19</f>
        <v>221372.644429539</v>
      </c>
      <c r="G21" s="30" t="n">
        <f aca="false">G17+G19</f>
        <v>258398.169775425</v>
      </c>
      <c r="H21" s="30" t="n">
        <f aca="false">H17+H19</f>
        <v>295423.695121311</v>
      </c>
      <c r="I21" s="30" t="n">
        <f aca="false">I17+I19</f>
        <v>332449.220467197</v>
      </c>
      <c r="J21" s="30" t="n">
        <f aca="false">J17+J19</f>
        <v>369474.745813083</v>
      </c>
      <c r="K21" s="30" t="n">
        <f aca="false">K17+K19</f>
        <v>406500.271158969</v>
      </c>
      <c r="L21" s="30" t="n">
        <f aca="false">L17+L19</f>
        <v>443525.796504855</v>
      </c>
      <c r="M21" s="30" t="n">
        <f aca="false">M17+M19</f>
        <v>480551.321850742</v>
      </c>
      <c r="N21" s="30" t="n">
        <f aca="false">N17+N19</f>
        <v>517576.847196628</v>
      </c>
      <c r="O21" s="30" t="n">
        <f aca="false">O17+O19</f>
        <v>594500.513516722</v>
      </c>
      <c r="P21" s="30" t="n">
        <f aca="false">P17+P19</f>
        <v>659049.593538297</v>
      </c>
      <c r="Q21" s="30" t="n">
        <f aca="false">Q17+Q19</f>
        <v>723598.673559872</v>
      </c>
      <c r="R21" s="30" t="n">
        <f aca="false">R17+R19</f>
        <v>788147.753581447</v>
      </c>
      <c r="S21" s="30" t="n">
        <f aca="false">S17+S19</f>
        <v>852696.833603023</v>
      </c>
      <c r="T21" s="30" t="n">
        <f aca="false">T17+T19</f>
        <v>917245.913624598</v>
      </c>
      <c r="U21" s="30" t="n">
        <f aca="false">U17+U19</f>
        <v>981794.993646173</v>
      </c>
      <c r="V21" s="30" t="n">
        <f aca="false">V17+V19</f>
        <v>1046344.07366775</v>
      </c>
      <c r="W21" s="30" t="n">
        <f aca="false">W17+W19</f>
        <v>1110893.15368932</v>
      </c>
      <c r="X21" s="30" t="n">
        <f aca="false">X17+X19</f>
        <v>1175442.2337109</v>
      </c>
      <c r="Y21" s="30" t="n">
        <f aca="false">Y17+Y19</f>
        <v>1239991.31373247</v>
      </c>
      <c r="Z21" s="30" t="n">
        <f aca="false">Z17+Z19</f>
        <v>1304540.39375405</v>
      </c>
      <c r="AA21" s="30" t="n">
        <f aca="false">AA17+AA19</f>
        <v>1431578.05600504</v>
      </c>
      <c r="AB21" s="30" t="n">
        <f aca="false">AB17+AB19</f>
        <v>1537770.96715211</v>
      </c>
      <c r="AC21" s="30" t="n">
        <f aca="false">AC17+AC19</f>
        <v>1643963.87829918</v>
      </c>
      <c r="AD21" s="30" t="n">
        <f aca="false">AD17+AD19</f>
        <v>1750156.78944625</v>
      </c>
      <c r="AE21" s="30" t="n">
        <f aca="false">AE17+AE19</f>
        <v>1856349.70059332</v>
      </c>
      <c r="AF21" s="30" t="n">
        <f aca="false">AF17+AF19</f>
        <v>1962542.61174039</v>
      </c>
      <c r="AG21" s="30" t="n">
        <f aca="false">AG17+AG19</f>
        <v>2068735.52288746</v>
      </c>
      <c r="AH21" s="30" t="n">
        <f aca="false">AH17+AH19</f>
        <v>2174928.43403453</v>
      </c>
      <c r="AI21" s="30" t="n">
        <f aca="false">AI17+AI19</f>
        <v>2281121.3451816</v>
      </c>
      <c r="AJ21" s="30" t="n">
        <f aca="false">AJ17+AJ19</f>
        <v>2387314.25632867</v>
      </c>
      <c r="AK21" s="30" t="n">
        <f aca="false">AK17+AK19</f>
        <v>2493507.16747573</v>
      </c>
      <c r="AL21" s="30" t="n">
        <f aca="false">AL17+AL19</f>
        <v>2599700.0786228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8" min="3" style="0" width="11"/>
  </cols>
  <sheetData>
    <row r="2" customFormat="false" ht="22.05" hidden="false" customHeight="false" outlineLevel="0" collapsed="false">
      <c r="B2" s="1" t="s">
        <v>285</v>
      </c>
    </row>
    <row r="3" customFormat="false" ht="32.8" hidden="false" customHeight="false" outlineLevel="0" collapsed="false">
      <c r="B3" s="16" t="s">
        <v>286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8" t="s">
        <v>287</v>
      </c>
      <c r="C7" s="21" t="n">
        <f aca="false">Member_Build!C8*Drivers!$E$38*Drivers!$E$55</f>
        <v>1650</v>
      </c>
      <c r="D7" s="21" t="n">
        <f aca="false">Member_Build!D8*Drivers!$E$38*Drivers!$E$55</f>
        <v>1950</v>
      </c>
      <c r="E7" s="21" t="n">
        <f aca="false">Member_Build!E8*Drivers!$E$38*Drivers!$E$55</f>
        <v>2550</v>
      </c>
      <c r="F7" s="21" t="n">
        <f aca="false">Member_Build!F8*Drivers!$E$38*Drivers!$E$55</f>
        <v>3150</v>
      </c>
      <c r="G7" s="21" t="n">
        <f aca="false">Member_Build!G8*Drivers!$E$38*Drivers!$E$55</f>
        <v>3750</v>
      </c>
      <c r="H7" s="21" t="n">
        <f aca="false">Member_Build!H8*Drivers!$E$38*Drivers!$E$55</f>
        <v>4350</v>
      </c>
      <c r="I7" s="21" t="n">
        <f aca="false">Member_Build!I8*Drivers!$E$38*Drivers!$E$55</f>
        <v>4950</v>
      </c>
      <c r="J7" s="21" t="n">
        <f aca="false">Member_Build!J8*Drivers!$E$38*Drivers!$E$55</f>
        <v>5550</v>
      </c>
      <c r="K7" s="21" t="n">
        <f aca="false">Member_Build!K8*Drivers!$E$38*Drivers!$E$55</f>
        <v>6150</v>
      </c>
      <c r="L7" s="21" t="n">
        <f aca="false">Member_Build!L8*Drivers!$E$38*Drivers!$E$55</f>
        <v>6750</v>
      </c>
      <c r="M7" s="21" t="n">
        <f aca="false">Member_Build!M8*Drivers!$E$38*Drivers!$E$55</f>
        <v>7350</v>
      </c>
      <c r="N7" s="21" t="n">
        <f aca="false">Member_Build!N8*Drivers!$E$38*Drivers!$E$55</f>
        <v>7950</v>
      </c>
      <c r="O7" s="21" t="n">
        <f aca="false">Member_Build!O8*Drivers!$E$38*Drivers!$E$55</f>
        <v>8765.625</v>
      </c>
      <c r="P7" s="21" t="n">
        <f aca="false">Member_Build!P8*Drivers!$E$38*Drivers!$E$55</f>
        <v>9796.875</v>
      </c>
      <c r="Q7" s="21" t="n">
        <f aca="false">Member_Build!Q8*Drivers!$E$38*Drivers!$E$55</f>
        <v>10828.125</v>
      </c>
      <c r="R7" s="21" t="n">
        <f aca="false">Member_Build!R8*Drivers!$E$38*Drivers!$E$55</f>
        <v>11859.375</v>
      </c>
      <c r="S7" s="21" t="n">
        <f aca="false">Member_Build!S8*Drivers!$E$38*Drivers!$E$55</f>
        <v>12890.625</v>
      </c>
      <c r="T7" s="21" t="n">
        <f aca="false">Member_Build!T8*Drivers!$E$38*Drivers!$E$55</f>
        <v>13921.875</v>
      </c>
      <c r="U7" s="21" t="n">
        <f aca="false">Member_Build!U8*Drivers!$E$38*Drivers!$E$55</f>
        <v>14953.125</v>
      </c>
      <c r="V7" s="21" t="n">
        <f aca="false">Member_Build!V8*Drivers!$E$38*Drivers!$E$55</f>
        <v>15984.375</v>
      </c>
      <c r="W7" s="21" t="n">
        <f aca="false">Member_Build!W8*Drivers!$E$38*Drivers!$E$55</f>
        <v>17015.625</v>
      </c>
      <c r="X7" s="21" t="n">
        <f aca="false">Member_Build!X8*Drivers!$E$38*Drivers!$E$55</f>
        <v>18046.875</v>
      </c>
      <c r="Y7" s="21" t="n">
        <f aca="false">Member_Build!Y8*Drivers!$E$38*Drivers!$E$55</f>
        <v>19078.125</v>
      </c>
      <c r="Z7" s="21" t="n">
        <f aca="false">Member_Build!Z8*Drivers!$E$38*Drivers!$E$55</f>
        <v>20109.375</v>
      </c>
      <c r="AA7" s="21" t="n">
        <f aca="false">Member_Build!AA8*Drivers!$E$38*Drivers!$E$55</f>
        <v>21484.375</v>
      </c>
      <c r="AB7" s="21" t="n">
        <f aca="false">Member_Build!AB8*Drivers!$E$38*Drivers!$E$55</f>
        <v>23203.125</v>
      </c>
      <c r="AC7" s="21" t="n">
        <f aca="false">Member_Build!AC8*Drivers!$E$38*Drivers!$E$55</f>
        <v>24921.875</v>
      </c>
      <c r="AD7" s="21" t="n">
        <f aca="false">Member_Build!AD8*Drivers!$E$38*Drivers!$E$55</f>
        <v>26640.625</v>
      </c>
      <c r="AE7" s="21" t="n">
        <f aca="false">Member_Build!AE8*Drivers!$E$38*Drivers!$E$55</f>
        <v>28359.375</v>
      </c>
      <c r="AF7" s="21" t="n">
        <f aca="false">Member_Build!AF8*Drivers!$E$38*Drivers!$E$55</f>
        <v>30078.125</v>
      </c>
      <c r="AG7" s="21" t="n">
        <f aca="false">Member_Build!AG8*Drivers!$E$38*Drivers!$E$55</f>
        <v>31796.875</v>
      </c>
      <c r="AH7" s="21" t="n">
        <f aca="false">Member_Build!AH8*Drivers!$E$38*Drivers!$E$55</f>
        <v>33515.625</v>
      </c>
      <c r="AI7" s="21" t="n">
        <f aca="false">Member_Build!AI8*Drivers!$E$38*Drivers!$E$55</f>
        <v>35234.375</v>
      </c>
      <c r="AJ7" s="21" t="n">
        <f aca="false">Member_Build!AJ8*Drivers!$E$38*Drivers!$E$55</f>
        <v>36953.125</v>
      </c>
      <c r="AK7" s="21" t="n">
        <f aca="false">Member_Build!AK8*Drivers!$E$38*Drivers!$E$55</f>
        <v>38671.875</v>
      </c>
      <c r="AL7" s="21" t="n">
        <f aca="false">Member_Build!AL8*Drivers!$E$38*Drivers!$E$55</f>
        <v>40390.625</v>
      </c>
    </row>
    <row r="8" customFormat="false" ht="15" hidden="false" customHeight="false" outlineLevel="0" collapsed="false">
      <c r="B8" s="8" t="s">
        <v>288</v>
      </c>
      <c r="C8" s="21" t="n">
        <f aca="false">Member_Build!C8*Drivers!$E$38*Drivers!$E$57*Drivers!$E$56</f>
        <v>180</v>
      </c>
      <c r="D8" s="21" t="n">
        <f aca="false">Member_Build!D8*Drivers!$E$38*Drivers!$E$57*Drivers!$E$56</f>
        <v>212.727272727273</v>
      </c>
      <c r="E8" s="21" t="n">
        <f aca="false">Member_Build!E8*Drivers!$E$38*Drivers!$E$57*Drivers!$E$56</f>
        <v>278.181818181818</v>
      </c>
      <c r="F8" s="21" t="n">
        <f aca="false">Member_Build!F8*Drivers!$E$38*Drivers!$E$57*Drivers!$E$56</f>
        <v>343.636363636364</v>
      </c>
      <c r="G8" s="21" t="n">
        <f aca="false">Member_Build!G8*Drivers!$E$38*Drivers!$E$57*Drivers!$E$56</f>
        <v>409.090909090909</v>
      </c>
      <c r="H8" s="21" t="n">
        <f aca="false">Member_Build!H8*Drivers!$E$38*Drivers!$E$57*Drivers!$E$56</f>
        <v>474.545454545455</v>
      </c>
      <c r="I8" s="21" t="n">
        <f aca="false">Member_Build!I8*Drivers!$E$38*Drivers!$E$57*Drivers!$E$56</f>
        <v>540</v>
      </c>
      <c r="J8" s="21" t="n">
        <f aca="false">Member_Build!J8*Drivers!$E$38*Drivers!$E$57*Drivers!$E$56</f>
        <v>605.454545454546</v>
      </c>
      <c r="K8" s="21" t="n">
        <f aca="false">Member_Build!K8*Drivers!$E$38*Drivers!$E$57*Drivers!$E$56</f>
        <v>670.909090909091</v>
      </c>
      <c r="L8" s="21" t="n">
        <f aca="false">Member_Build!L8*Drivers!$E$38*Drivers!$E$57*Drivers!$E$56</f>
        <v>736.363636363636</v>
      </c>
      <c r="M8" s="21" t="n">
        <f aca="false">Member_Build!M8*Drivers!$E$38*Drivers!$E$57*Drivers!$E$56</f>
        <v>801.818181818182</v>
      </c>
      <c r="N8" s="21" t="n">
        <f aca="false">Member_Build!N8*Drivers!$E$38*Drivers!$E$57*Drivers!$E$56</f>
        <v>867.272727272727</v>
      </c>
      <c r="O8" s="21" t="n">
        <f aca="false">Member_Build!O8*Drivers!$E$38*Drivers!$E$57*Drivers!$E$56</f>
        <v>956.25</v>
      </c>
      <c r="P8" s="21" t="n">
        <f aca="false">Member_Build!P8*Drivers!$E$38*Drivers!$E$57*Drivers!$E$56</f>
        <v>1068.75</v>
      </c>
      <c r="Q8" s="21" t="n">
        <f aca="false">Member_Build!Q8*Drivers!$E$38*Drivers!$E$57*Drivers!$E$56</f>
        <v>1181.25</v>
      </c>
      <c r="R8" s="21" t="n">
        <f aca="false">Member_Build!R8*Drivers!$E$38*Drivers!$E$57*Drivers!$E$56</f>
        <v>1293.75</v>
      </c>
      <c r="S8" s="21" t="n">
        <f aca="false">Member_Build!S8*Drivers!$E$38*Drivers!$E$57*Drivers!$E$56</f>
        <v>1406.25</v>
      </c>
      <c r="T8" s="21" t="n">
        <f aca="false">Member_Build!T8*Drivers!$E$38*Drivers!$E$57*Drivers!$E$56</f>
        <v>1518.75</v>
      </c>
      <c r="U8" s="21" t="n">
        <f aca="false">Member_Build!U8*Drivers!$E$38*Drivers!$E$57*Drivers!$E$56</f>
        <v>1631.25</v>
      </c>
      <c r="V8" s="21" t="n">
        <f aca="false">Member_Build!V8*Drivers!$E$38*Drivers!$E$57*Drivers!$E$56</f>
        <v>1743.75</v>
      </c>
      <c r="W8" s="21" t="n">
        <f aca="false">Member_Build!W8*Drivers!$E$38*Drivers!$E$57*Drivers!$E$56</f>
        <v>1856.25</v>
      </c>
      <c r="X8" s="21" t="n">
        <f aca="false">Member_Build!X8*Drivers!$E$38*Drivers!$E$57*Drivers!$E$56</f>
        <v>1968.75</v>
      </c>
      <c r="Y8" s="21" t="n">
        <f aca="false">Member_Build!Y8*Drivers!$E$38*Drivers!$E$57*Drivers!$E$56</f>
        <v>2081.25</v>
      </c>
      <c r="Z8" s="21" t="n">
        <f aca="false">Member_Build!Z8*Drivers!$E$38*Drivers!$E$57*Drivers!$E$56</f>
        <v>2193.75</v>
      </c>
      <c r="AA8" s="21" t="n">
        <f aca="false">Member_Build!AA8*Drivers!$E$38*Drivers!$E$57*Drivers!$E$56</f>
        <v>2343.75</v>
      </c>
      <c r="AB8" s="21" t="n">
        <f aca="false">Member_Build!AB8*Drivers!$E$38*Drivers!$E$57*Drivers!$E$56</f>
        <v>2531.25</v>
      </c>
      <c r="AC8" s="21" t="n">
        <f aca="false">Member_Build!AC8*Drivers!$E$38*Drivers!$E$57*Drivers!$E$56</f>
        <v>2718.75</v>
      </c>
      <c r="AD8" s="21" t="n">
        <f aca="false">Member_Build!AD8*Drivers!$E$38*Drivers!$E$57*Drivers!$E$56</f>
        <v>2906.25</v>
      </c>
      <c r="AE8" s="21" t="n">
        <f aca="false">Member_Build!AE8*Drivers!$E$38*Drivers!$E$57*Drivers!$E$56</f>
        <v>3093.75</v>
      </c>
      <c r="AF8" s="21" t="n">
        <f aca="false">Member_Build!AF8*Drivers!$E$38*Drivers!$E$57*Drivers!$E$56</f>
        <v>3281.25</v>
      </c>
      <c r="AG8" s="21" t="n">
        <f aca="false">Member_Build!AG8*Drivers!$E$38*Drivers!$E$57*Drivers!$E$56</f>
        <v>3468.75</v>
      </c>
      <c r="AH8" s="21" t="n">
        <f aca="false">Member_Build!AH8*Drivers!$E$38*Drivers!$E$57*Drivers!$E$56</f>
        <v>3656.25</v>
      </c>
      <c r="AI8" s="21" t="n">
        <f aca="false">Member_Build!AI8*Drivers!$E$38*Drivers!$E$57*Drivers!$E$56</f>
        <v>3843.75</v>
      </c>
      <c r="AJ8" s="21" t="n">
        <f aca="false">Member_Build!AJ8*Drivers!$E$38*Drivers!$E$57*Drivers!$E$56</f>
        <v>4031.25</v>
      </c>
      <c r="AK8" s="21" t="n">
        <f aca="false">Member_Build!AK8*Drivers!$E$38*Drivers!$E$57*Drivers!$E$56</f>
        <v>4218.75</v>
      </c>
      <c r="AL8" s="21" t="n">
        <f aca="false">Member_Build!AL8*Drivers!$E$38*Drivers!$E$57*Drivers!$E$56</f>
        <v>4406.25</v>
      </c>
    </row>
    <row r="9" customFormat="false" ht="15" hidden="false" customHeight="false" outlineLevel="0" collapsed="false">
      <c r="B9" s="8" t="s">
        <v>289</v>
      </c>
      <c r="C9" s="21" t="n">
        <f aca="false">Member_Build!C8*Drivers!$E$59/12*Drivers!$E$58</f>
        <v>800</v>
      </c>
      <c r="D9" s="21" t="n">
        <f aca="false">Member_Build!D8*Drivers!$E$59/12*Drivers!$E$58</f>
        <v>945.454545454546</v>
      </c>
      <c r="E9" s="21" t="n">
        <f aca="false">Member_Build!E8*Drivers!$E$59/12*Drivers!$E$58</f>
        <v>1236.36363636364</v>
      </c>
      <c r="F9" s="21" t="n">
        <f aca="false">Member_Build!F8*Drivers!$E$59/12*Drivers!$E$58</f>
        <v>1527.27272727273</v>
      </c>
      <c r="G9" s="21" t="n">
        <f aca="false">Member_Build!G8*Drivers!$E$59/12*Drivers!$E$58</f>
        <v>1818.18181818182</v>
      </c>
      <c r="H9" s="21" t="n">
        <f aca="false">Member_Build!H8*Drivers!$E$59/12*Drivers!$E$58</f>
        <v>2109.09090909091</v>
      </c>
      <c r="I9" s="21" t="n">
        <f aca="false">Member_Build!I8*Drivers!$E$59/12*Drivers!$E$58</f>
        <v>2400</v>
      </c>
      <c r="J9" s="21" t="n">
        <f aca="false">Member_Build!J8*Drivers!$E$59/12*Drivers!$E$58</f>
        <v>2690.90909090909</v>
      </c>
      <c r="K9" s="21" t="n">
        <f aca="false">Member_Build!K8*Drivers!$E$59/12*Drivers!$E$58</f>
        <v>2981.81818181818</v>
      </c>
      <c r="L9" s="21" t="n">
        <f aca="false">Member_Build!L8*Drivers!$E$59/12*Drivers!$E$58</f>
        <v>3272.72727272727</v>
      </c>
      <c r="M9" s="21" t="n">
        <f aca="false">Member_Build!M8*Drivers!$E$59/12*Drivers!$E$58</f>
        <v>3563.63636363636</v>
      </c>
      <c r="N9" s="21" t="n">
        <f aca="false">Member_Build!N8*Drivers!$E$59/12*Drivers!$E$58</f>
        <v>3854.54545454545</v>
      </c>
      <c r="O9" s="21" t="n">
        <f aca="false">Member_Build!O8*Drivers!$E$59/12*Drivers!$E$58</f>
        <v>4250</v>
      </c>
      <c r="P9" s="21" t="n">
        <f aca="false">Member_Build!P8*Drivers!$E$59/12*Drivers!$E$58</f>
        <v>4750</v>
      </c>
      <c r="Q9" s="21" t="n">
        <f aca="false">Member_Build!Q8*Drivers!$E$59/12*Drivers!$E$58</f>
        <v>5250</v>
      </c>
      <c r="R9" s="21" t="n">
        <f aca="false">Member_Build!R8*Drivers!$E$59/12*Drivers!$E$58</f>
        <v>5750</v>
      </c>
      <c r="S9" s="21" t="n">
        <f aca="false">Member_Build!S8*Drivers!$E$59/12*Drivers!$E$58</f>
        <v>6250</v>
      </c>
      <c r="T9" s="21" t="n">
        <f aca="false">Member_Build!T8*Drivers!$E$59/12*Drivers!$E$58</f>
        <v>6750</v>
      </c>
      <c r="U9" s="21" t="n">
        <f aca="false">Member_Build!U8*Drivers!$E$59/12*Drivers!$E$58</f>
        <v>7250</v>
      </c>
      <c r="V9" s="21" t="n">
        <f aca="false">Member_Build!V8*Drivers!$E$59/12*Drivers!$E$58</f>
        <v>7750</v>
      </c>
      <c r="W9" s="21" t="n">
        <f aca="false">Member_Build!W8*Drivers!$E$59/12*Drivers!$E$58</f>
        <v>8250</v>
      </c>
      <c r="X9" s="21" t="n">
        <f aca="false">Member_Build!X8*Drivers!$E$59/12*Drivers!$E$58</f>
        <v>8750</v>
      </c>
      <c r="Y9" s="21" t="n">
        <f aca="false">Member_Build!Y8*Drivers!$E$59/12*Drivers!$E$58</f>
        <v>9250</v>
      </c>
      <c r="Z9" s="21" t="n">
        <f aca="false">Member_Build!Z8*Drivers!$E$59/12*Drivers!$E$58</f>
        <v>9750</v>
      </c>
      <c r="AA9" s="21" t="n">
        <f aca="false">Member_Build!AA8*Drivers!$E$59/12*Drivers!$E$58</f>
        <v>10416.6666666667</v>
      </c>
      <c r="AB9" s="21" t="n">
        <f aca="false">Member_Build!AB8*Drivers!$E$59/12*Drivers!$E$58</f>
        <v>11250</v>
      </c>
      <c r="AC9" s="21" t="n">
        <f aca="false">Member_Build!AC8*Drivers!$E$59/12*Drivers!$E$58</f>
        <v>12083.3333333333</v>
      </c>
      <c r="AD9" s="21" t="n">
        <f aca="false">Member_Build!AD8*Drivers!$E$59/12*Drivers!$E$58</f>
        <v>12916.6666666667</v>
      </c>
      <c r="AE9" s="21" t="n">
        <f aca="false">Member_Build!AE8*Drivers!$E$59/12*Drivers!$E$58</f>
        <v>13750</v>
      </c>
      <c r="AF9" s="21" t="n">
        <f aca="false">Member_Build!AF8*Drivers!$E$59/12*Drivers!$E$58</f>
        <v>14583.3333333333</v>
      </c>
      <c r="AG9" s="21" t="n">
        <f aca="false">Member_Build!AG8*Drivers!$E$59/12*Drivers!$E$58</f>
        <v>15416.6666666667</v>
      </c>
      <c r="AH9" s="21" t="n">
        <f aca="false">Member_Build!AH8*Drivers!$E$59/12*Drivers!$E$58</f>
        <v>16250</v>
      </c>
      <c r="AI9" s="21" t="n">
        <f aca="false">Member_Build!AI8*Drivers!$E$59/12*Drivers!$E$58</f>
        <v>17083.3333333333</v>
      </c>
      <c r="AJ9" s="21" t="n">
        <f aca="false">Member_Build!AJ8*Drivers!$E$59/12*Drivers!$E$58</f>
        <v>17916.6666666667</v>
      </c>
      <c r="AK9" s="21" t="n">
        <f aca="false">Member_Build!AK8*Drivers!$E$59/12*Drivers!$E$58</f>
        <v>18750</v>
      </c>
      <c r="AL9" s="21" t="n">
        <f aca="false">Member_Build!AL8*Drivers!$E$59/12*Drivers!$E$58</f>
        <v>19583.3333333333</v>
      </c>
    </row>
    <row r="10" customFormat="false" ht="15" hidden="false" customHeight="false" outlineLevel="0" collapsed="false">
      <c r="B10" s="8" t="s">
        <v>290</v>
      </c>
      <c r="C10" s="21" t="n">
        <f aca="false">Member_Build!C8*Drivers!$E$40/12*Drivers!$E$42</f>
        <v>500</v>
      </c>
      <c r="D10" s="21" t="n">
        <f aca="false">Member_Build!D8*Drivers!$E$40/12*Drivers!$E$42</f>
        <v>590.909090909091</v>
      </c>
      <c r="E10" s="21" t="n">
        <f aca="false">Member_Build!E8*Drivers!$E$40/12*Drivers!$E$42</f>
        <v>772.727272727273</v>
      </c>
      <c r="F10" s="21" t="n">
        <f aca="false">Member_Build!F8*Drivers!$E$40/12*Drivers!$E$42</f>
        <v>954.545454545455</v>
      </c>
      <c r="G10" s="21" t="n">
        <f aca="false">Member_Build!G8*Drivers!$E$40/12*Drivers!$E$42</f>
        <v>1136.36363636364</v>
      </c>
      <c r="H10" s="21" t="n">
        <f aca="false">Member_Build!H8*Drivers!$E$40/12*Drivers!$E$42</f>
        <v>1318.18181818182</v>
      </c>
      <c r="I10" s="21" t="n">
        <f aca="false">Member_Build!I8*Drivers!$E$40/12*Drivers!$E$42</f>
        <v>1500</v>
      </c>
      <c r="J10" s="21" t="n">
        <f aca="false">Member_Build!J8*Drivers!$E$40/12*Drivers!$E$42</f>
        <v>1681.81818181818</v>
      </c>
      <c r="K10" s="21" t="n">
        <f aca="false">Member_Build!K8*Drivers!$E$40/12*Drivers!$E$42</f>
        <v>1863.63636363636</v>
      </c>
      <c r="L10" s="21" t="n">
        <f aca="false">Member_Build!L8*Drivers!$E$40/12*Drivers!$E$42</f>
        <v>2045.45454545455</v>
      </c>
      <c r="M10" s="21" t="n">
        <f aca="false">Member_Build!M8*Drivers!$E$40/12*Drivers!$E$42</f>
        <v>2227.27272727273</v>
      </c>
      <c r="N10" s="21" t="n">
        <f aca="false">Member_Build!N8*Drivers!$E$40/12*Drivers!$E$42</f>
        <v>2409.09090909091</v>
      </c>
      <c r="O10" s="21" t="n">
        <f aca="false">Member_Build!O8*Drivers!$E$40/12*Drivers!$E$42</f>
        <v>2656.25</v>
      </c>
      <c r="P10" s="21" t="n">
        <f aca="false">Member_Build!P8*Drivers!$E$40/12*Drivers!$E$42</f>
        <v>2968.75</v>
      </c>
      <c r="Q10" s="21" t="n">
        <f aca="false">Member_Build!Q8*Drivers!$E$40/12*Drivers!$E$42</f>
        <v>3281.25</v>
      </c>
      <c r="R10" s="21" t="n">
        <f aca="false">Member_Build!R8*Drivers!$E$40/12*Drivers!$E$42</f>
        <v>3593.75</v>
      </c>
      <c r="S10" s="21" t="n">
        <f aca="false">Member_Build!S8*Drivers!$E$40/12*Drivers!$E$42</f>
        <v>3906.25</v>
      </c>
      <c r="T10" s="21" t="n">
        <f aca="false">Member_Build!T8*Drivers!$E$40/12*Drivers!$E$42</f>
        <v>4218.75</v>
      </c>
      <c r="U10" s="21" t="n">
        <f aca="false">Member_Build!U8*Drivers!$E$40/12*Drivers!$E$42</f>
        <v>4531.25</v>
      </c>
      <c r="V10" s="21" t="n">
        <f aca="false">Member_Build!V8*Drivers!$E$40/12*Drivers!$E$42</f>
        <v>4843.75</v>
      </c>
      <c r="W10" s="21" t="n">
        <f aca="false">Member_Build!W8*Drivers!$E$40/12*Drivers!$E$42</f>
        <v>5156.25</v>
      </c>
      <c r="X10" s="21" t="n">
        <f aca="false">Member_Build!X8*Drivers!$E$40/12*Drivers!$E$42</f>
        <v>5468.75</v>
      </c>
      <c r="Y10" s="21" t="n">
        <f aca="false">Member_Build!Y8*Drivers!$E$40/12*Drivers!$E$42</f>
        <v>5781.25</v>
      </c>
      <c r="Z10" s="21" t="n">
        <f aca="false">Member_Build!Z8*Drivers!$E$40/12*Drivers!$E$42</f>
        <v>6093.75</v>
      </c>
      <c r="AA10" s="21" t="n">
        <f aca="false">Member_Build!AA8*Drivers!$E$40/12*Drivers!$E$42</f>
        <v>6510.41666666667</v>
      </c>
      <c r="AB10" s="21" t="n">
        <f aca="false">Member_Build!AB8*Drivers!$E$40/12*Drivers!$E$42</f>
        <v>7031.25</v>
      </c>
      <c r="AC10" s="21" t="n">
        <f aca="false">Member_Build!AC8*Drivers!$E$40/12*Drivers!$E$42</f>
        <v>7552.08333333333</v>
      </c>
      <c r="AD10" s="21" t="n">
        <f aca="false">Member_Build!AD8*Drivers!$E$40/12*Drivers!$E$42</f>
        <v>8072.91666666667</v>
      </c>
      <c r="AE10" s="21" t="n">
        <f aca="false">Member_Build!AE8*Drivers!$E$40/12*Drivers!$E$42</f>
        <v>8593.75</v>
      </c>
      <c r="AF10" s="21" t="n">
        <f aca="false">Member_Build!AF8*Drivers!$E$40/12*Drivers!$E$42</f>
        <v>9114.58333333333</v>
      </c>
      <c r="AG10" s="21" t="n">
        <f aca="false">Member_Build!AG8*Drivers!$E$40/12*Drivers!$E$42</f>
        <v>9635.41666666667</v>
      </c>
      <c r="AH10" s="21" t="n">
        <f aca="false">Member_Build!AH8*Drivers!$E$40/12*Drivers!$E$42</f>
        <v>10156.25</v>
      </c>
      <c r="AI10" s="21" t="n">
        <f aca="false">Member_Build!AI8*Drivers!$E$40/12*Drivers!$E$42</f>
        <v>10677.0833333333</v>
      </c>
      <c r="AJ10" s="21" t="n">
        <f aca="false">Member_Build!AJ8*Drivers!$E$40/12*Drivers!$E$42</f>
        <v>11197.9166666667</v>
      </c>
      <c r="AK10" s="21" t="n">
        <f aca="false">Member_Build!AK8*Drivers!$E$40/12*Drivers!$E$42</f>
        <v>11718.75</v>
      </c>
      <c r="AL10" s="21" t="n">
        <f aca="false">Member_Build!AL8*Drivers!$E$40/12*Drivers!$E$42</f>
        <v>12239.5833333333</v>
      </c>
    </row>
    <row r="11" customFormat="false" ht="15" hidden="false" customHeight="false" outlineLevel="0" collapsed="false">
      <c r="B11" s="8" t="s">
        <v>291</v>
      </c>
      <c r="C11" s="21" t="n">
        <f aca="false">Member_Build!C8*Drivers!$E$61/12*Drivers!$E$60</f>
        <v>1666.66666666667</v>
      </c>
      <c r="D11" s="21" t="n">
        <f aca="false">Member_Build!D8*Drivers!$E$61/12*Drivers!$E$60</f>
        <v>1969.69696969697</v>
      </c>
      <c r="E11" s="21" t="n">
        <f aca="false">Member_Build!E8*Drivers!$E$61/12*Drivers!$E$60</f>
        <v>2575.75757575758</v>
      </c>
      <c r="F11" s="21" t="n">
        <f aca="false">Member_Build!F8*Drivers!$E$61/12*Drivers!$E$60</f>
        <v>3181.81818181818</v>
      </c>
      <c r="G11" s="21" t="n">
        <f aca="false">Member_Build!G8*Drivers!$E$61/12*Drivers!$E$60</f>
        <v>3787.87878787879</v>
      </c>
      <c r="H11" s="21" t="n">
        <f aca="false">Member_Build!H8*Drivers!$E$61/12*Drivers!$E$60</f>
        <v>4393.93939393939</v>
      </c>
      <c r="I11" s="21" t="n">
        <f aca="false">Member_Build!I8*Drivers!$E$61/12*Drivers!$E$60</f>
        <v>5000</v>
      </c>
      <c r="J11" s="21" t="n">
        <f aca="false">Member_Build!J8*Drivers!$E$61/12*Drivers!$E$60</f>
        <v>5606.06060606061</v>
      </c>
      <c r="K11" s="21" t="n">
        <f aca="false">Member_Build!K8*Drivers!$E$61/12*Drivers!$E$60</f>
        <v>6212.12121212121</v>
      </c>
      <c r="L11" s="21" t="n">
        <f aca="false">Member_Build!L8*Drivers!$E$61/12*Drivers!$E$60</f>
        <v>6818.18181818182</v>
      </c>
      <c r="M11" s="21" t="n">
        <f aca="false">Member_Build!M8*Drivers!$E$61/12*Drivers!$E$60</f>
        <v>7424.24242424243</v>
      </c>
      <c r="N11" s="21" t="n">
        <f aca="false">Member_Build!N8*Drivers!$E$61/12*Drivers!$E$60</f>
        <v>8030.30303030303</v>
      </c>
      <c r="O11" s="21" t="n">
        <f aca="false">Member_Build!O8*Drivers!$E$61/12*Drivers!$E$60</f>
        <v>8854.16666666667</v>
      </c>
      <c r="P11" s="21" t="n">
        <f aca="false">Member_Build!P8*Drivers!$E$61/12*Drivers!$E$60</f>
        <v>9895.83333333333</v>
      </c>
      <c r="Q11" s="21" t="n">
        <f aca="false">Member_Build!Q8*Drivers!$E$61/12*Drivers!$E$60</f>
        <v>10937.5</v>
      </c>
      <c r="R11" s="21" t="n">
        <f aca="false">Member_Build!R8*Drivers!$E$61/12*Drivers!$E$60</f>
        <v>11979.1666666667</v>
      </c>
      <c r="S11" s="21" t="n">
        <f aca="false">Member_Build!S8*Drivers!$E$61/12*Drivers!$E$60</f>
        <v>13020.8333333333</v>
      </c>
      <c r="T11" s="21" t="n">
        <f aca="false">Member_Build!T8*Drivers!$E$61/12*Drivers!$E$60</f>
        <v>14062.5</v>
      </c>
      <c r="U11" s="21" t="n">
        <f aca="false">Member_Build!U8*Drivers!$E$61/12*Drivers!$E$60</f>
        <v>15104.1666666667</v>
      </c>
      <c r="V11" s="21" t="n">
        <f aca="false">Member_Build!V8*Drivers!$E$61/12*Drivers!$E$60</f>
        <v>16145.8333333333</v>
      </c>
      <c r="W11" s="21" t="n">
        <f aca="false">Member_Build!W8*Drivers!$E$61/12*Drivers!$E$60</f>
        <v>17187.5</v>
      </c>
      <c r="X11" s="21" t="n">
        <f aca="false">Member_Build!X8*Drivers!$E$61/12*Drivers!$E$60</f>
        <v>18229.1666666667</v>
      </c>
      <c r="Y11" s="21" t="n">
        <f aca="false">Member_Build!Y8*Drivers!$E$61/12*Drivers!$E$60</f>
        <v>19270.8333333333</v>
      </c>
      <c r="Z11" s="21" t="n">
        <f aca="false">Member_Build!Z8*Drivers!$E$61/12*Drivers!$E$60</f>
        <v>20312.5</v>
      </c>
      <c r="AA11" s="21" t="n">
        <f aca="false">Member_Build!AA8*Drivers!$E$61/12*Drivers!$E$60</f>
        <v>21701.3888888889</v>
      </c>
      <c r="AB11" s="21" t="n">
        <f aca="false">Member_Build!AB8*Drivers!$E$61/12*Drivers!$E$60</f>
        <v>23437.5</v>
      </c>
      <c r="AC11" s="21" t="n">
        <f aca="false">Member_Build!AC8*Drivers!$E$61/12*Drivers!$E$60</f>
        <v>25173.6111111111</v>
      </c>
      <c r="AD11" s="21" t="n">
        <f aca="false">Member_Build!AD8*Drivers!$E$61/12*Drivers!$E$60</f>
        <v>26909.7222222222</v>
      </c>
      <c r="AE11" s="21" t="n">
        <f aca="false">Member_Build!AE8*Drivers!$E$61/12*Drivers!$E$60</f>
        <v>28645.8333333333</v>
      </c>
      <c r="AF11" s="21" t="n">
        <f aca="false">Member_Build!AF8*Drivers!$E$61/12*Drivers!$E$60</f>
        <v>30381.9444444444</v>
      </c>
      <c r="AG11" s="21" t="n">
        <f aca="false">Member_Build!AG8*Drivers!$E$61/12*Drivers!$E$60</f>
        <v>32118.0555555556</v>
      </c>
      <c r="AH11" s="21" t="n">
        <f aca="false">Member_Build!AH8*Drivers!$E$61/12*Drivers!$E$60</f>
        <v>33854.1666666667</v>
      </c>
      <c r="AI11" s="21" t="n">
        <f aca="false">Member_Build!AI8*Drivers!$E$61/12*Drivers!$E$60</f>
        <v>35590.2777777778</v>
      </c>
      <c r="AJ11" s="21" t="n">
        <f aca="false">Member_Build!AJ8*Drivers!$E$61/12*Drivers!$E$60</f>
        <v>37326.3888888889</v>
      </c>
      <c r="AK11" s="21" t="n">
        <f aca="false">Member_Build!AK8*Drivers!$E$61/12*Drivers!$E$60</f>
        <v>39062.5</v>
      </c>
      <c r="AL11" s="21" t="n">
        <f aca="false">Member_Build!AL8*Drivers!$E$61/12*Drivers!$E$60</f>
        <v>40798.6111111111</v>
      </c>
    </row>
    <row r="12" customFormat="false" ht="15" hidden="false" customHeight="false" outlineLevel="0" collapsed="false">
      <c r="B12" s="8" t="s">
        <v>292</v>
      </c>
      <c r="C12" s="21" t="n">
        <f aca="false">Member_Build!C8*Drivers!$E$63*Drivers!$E$62</f>
        <v>20000</v>
      </c>
      <c r="D12" s="21" t="n">
        <f aca="false">Member_Build!D8*Drivers!$E$63*Drivers!$E$62</f>
        <v>23636.3636363636</v>
      </c>
      <c r="E12" s="21" t="n">
        <f aca="false">Member_Build!E8*Drivers!$E$63*Drivers!$E$62</f>
        <v>30909.0909090909</v>
      </c>
      <c r="F12" s="21" t="n">
        <f aca="false">Member_Build!F8*Drivers!$E$63*Drivers!$E$62</f>
        <v>38181.8181818182</v>
      </c>
      <c r="G12" s="21" t="n">
        <f aca="false">Member_Build!G8*Drivers!$E$63*Drivers!$E$62</f>
        <v>45454.5454545455</v>
      </c>
      <c r="H12" s="21" t="n">
        <f aca="false">Member_Build!H8*Drivers!$E$63*Drivers!$E$62</f>
        <v>52727.2727272727</v>
      </c>
      <c r="I12" s="21" t="n">
        <f aca="false">Member_Build!I8*Drivers!$E$63*Drivers!$E$62</f>
        <v>60000</v>
      </c>
      <c r="J12" s="21" t="n">
        <f aca="false">Member_Build!J8*Drivers!$E$63*Drivers!$E$62</f>
        <v>67272.7272727273</v>
      </c>
      <c r="K12" s="21" t="n">
        <f aca="false">Member_Build!K8*Drivers!$E$63*Drivers!$E$62</f>
        <v>74545.4545454545</v>
      </c>
      <c r="L12" s="21" t="n">
        <f aca="false">Member_Build!L8*Drivers!$E$63*Drivers!$E$62</f>
        <v>81818.1818181818</v>
      </c>
      <c r="M12" s="21" t="n">
        <f aca="false">Member_Build!M8*Drivers!$E$63*Drivers!$E$62</f>
        <v>89090.9090909091</v>
      </c>
      <c r="N12" s="21" t="n">
        <f aca="false">Member_Build!N8*Drivers!$E$63*Drivers!$E$62</f>
        <v>96363.6363636364</v>
      </c>
      <c r="O12" s="21" t="n">
        <f aca="false">Member_Build!O8*Drivers!$E$63*Drivers!$E$62</f>
        <v>106250</v>
      </c>
      <c r="P12" s="21" t="n">
        <f aca="false">Member_Build!P8*Drivers!$E$63*Drivers!$E$62</f>
        <v>118750</v>
      </c>
      <c r="Q12" s="21" t="n">
        <f aca="false">Member_Build!Q8*Drivers!$E$63*Drivers!$E$62</f>
        <v>131250</v>
      </c>
      <c r="R12" s="21" t="n">
        <f aca="false">Member_Build!R8*Drivers!$E$63*Drivers!$E$62</f>
        <v>143750</v>
      </c>
      <c r="S12" s="21" t="n">
        <f aca="false">Member_Build!S8*Drivers!$E$63*Drivers!$E$62</f>
        <v>156250</v>
      </c>
      <c r="T12" s="21" t="n">
        <f aca="false">Member_Build!T8*Drivers!$E$63*Drivers!$E$62</f>
        <v>168750</v>
      </c>
      <c r="U12" s="21" t="n">
        <f aca="false">Member_Build!U8*Drivers!$E$63*Drivers!$E$62</f>
        <v>181250</v>
      </c>
      <c r="V12" s="21" t="n">
        <f aca="false">Member_Build!V8*Drivers!$E$63*Drivers!$E$62</f>
        <v>193750</v>
      </c>
      <c r="W12" s="21" t="n">
        <f aca="false">Member_Build!W8*Drivers!$E$63*Drivers!$E$62</f>
        <v>206250</v>
      </c>
      <c r="X12" s="21" t="n">
        <f aca="false">Member_Build!X8*Drivers!$E$63*Drivers!$E$62</f>
        <v>218750</v>
      </c>
      <c r="Y12" s="21" t="n">
        <f aca="false">Member_Build!Y8*Drivers!$E$63*Drivers!$E$62</f>
        <v>231250</v>
      </c>
      <c r="Z12" s="21" t="n">
        <f aca="false">Member_Build!Z8*Drivers!$E$63*Drivers!$E$62</f>
        <v>243750</v>
      </c>
      <c r="AA12" s="21" t="n">
        <f aca="false">Member_Build!AA8*Drivers!$E$63*Drivers!$E$62</f>
        <v>260416.666666667</v>
      </c>
      <c r="AB12" s="21" t="n">
        <f aca="false">Member_Build!AB8*Drivers!$E$63*Drivers!$E$62</f>
        <v>281250</v>
      </c>
      <c r="AC12" s="21" t="n">
        <f aca="false">Member_Build!AC8*Drivers!$E$63*Drivers!$E$62</f>
        <v>302083.333333333</v>
      </c>
      <c r="AD12" s="21" t="n">
        <f aca="false">Member_Build!AD8*Drivers!$E$63*Drivers!$E$62</f>
        <v>322916.666666667</v>
      </c>
      <c r="AE12" s="21" t="n">
        <f aca="false">Member_Build!AE8*Drivers!$E$63*Drivers!$E$62</f>
        <v>343750</v>
      </c>
      <c r="AF12" s="21" t="n">
        <f aca="false">Member_Build!AF8*Drivers!$E$63*Drivers!$E$62</f>
        <v>364583.333333333</v>
      </c>
      <c r="AG12" s="21" t="n">
        <f aca="false">Member_Build!AG8*Drivers!$E$63*Drivers!$E$62</f>
        <v>385416.666666667</v>
      </c>
      <c r="AH12" s="21" t="n">
        <f aca="false">Member_Build!AH8*Drivers!$E$63*Drivers!$E$62</f>
        <v>406250</v>
      </c>
      <c r="AI12" s="21" t="n">
        <f aca="false">Member_Build!AI8*Drivers!$E$63*Drivers!$E$62</f>
        <v>427083.333333333</v>
      </c>
      <c r="AJ12" s="21" t="n">
        <f aca="false">Member_Build!AJ8*Drivers!$E$63*Drivers!$E$62</f>
        <v>447916.666666667</v>
      </c>
      <c r="AK12" s="21" t="n">
        <f aca="false">Member_Build!AK8*Drivers!$E$63*Drivers!$E$62</f>
        <v>468750</v>
      </c>
      <c r="AL12" s="21" t="n">
        <f aca="false">Member_Build!AL8*Drivers!$E$63*Drivers!$E$62</f>
        <v>489583.333333333</v>
      </c>
    </row>
    <row r="13" customFormat="false" ht="15" hidden="false" customHeight="false" outlineLevel="0" collapsed="false">
      <c r="B13" s="8" t="s">
        <v>293</v>
      </c>
      <c r="C13" s="21" t="n">
        <f aca="false">Member_Build!C8*Drivers!$E$45*Drivers!$E$43*Drivers!$E$46</f>
        <v>400</v>
      </c>
      <c r="D13" s="21" t="n">
        <f aca="false">Member_Build!D8*Drivers!$E$45*Drivers!$E$43*Drivers!$E$46</f>
        <v>472.727272727273</v>
      </c>
      <c r="E13" s="21" t="n">
        <f aca="false">Member_Build!E8*Drivers!$E$45*Drivers!$E$43*Drivers!$E$46</f>
        <v>618.181818181818</v>
      </c>
      <c r="F13" s="21" t="n">
        <f aca="false">Member_Build!F8*Drivers!$E$45*Drivers!$E$43*Drivers!$E$46</f>
        <v>763.636363636364</v>
      </c>
      <c r="G13" s="21" t="n">
        <f aca="false">Member_Build!G8*Drivers!$E$45*Drivers!$E$43*Drivers!$E$46</f>
        <v>909.090909090909</v>
      </c>
      <c r="H13" s="21" t="n">
        <f aca="false">Member_Build!H8*Drivers!$E$45*Drivers!$E$43*Drivers!$E$46</f>
        <v>1054.54545454545</v>
      </c>
      <c r="I13" s="21" t="n">
        <f aca="false">Member_Build!I8*Drivers!$E$45*Drivers!$E$43*Drivers!$E$46</f>
        <v>1200</v>
      </c>
      <c r="J13" s="21" t="n">
        <f aca="false">Member_Build!J8*Drivers!$E$45*Drivers!$E$43*Drivers!$E$46</f>
        <v>1345.45454545455</v>
      </c>
      <c r="K13" s="21" t="n">
        <f aca="false">Member_Build!K8*Drivers!$E$45*Drivers!$E$43*Drivers!$E$46</f>
        <v>1490.90909090909</v>
      </c>
      <c r="L13" s="21" t="n">
        <f aca="false">Member_Build!L8*Drivers!$E$45*Drivers!$E$43*Drivers!$E$46</f>
        <v>1636.36363636364</v>
      </c>
      <c r="M13" s="21" t="n">
        <f aca="false">Member_Build!M8*Drivers!$E$45*Drivers!$E$43*Drivers!$E$46</f>
        <v>1781.81818181818</v>
      </c>
      <c r="N13" s="21" t="n">
        <f aca="false">Member_Build!N8*Drivers!$E$45*Drivers!$E$43*Drivers!$E$46</f>
        <v>1927.27272727273</v>
      </c>
      <c r="O13" s="21" t="n">
        <f aca="false">Member_Build!O8*Drivers!$E$45*Drivers!$E$43*Drivers!$E$46</f>
        <v>2125</v>
      </c>
      <c r="P13" s="21" t="n">
        <f aca="false">Member_Build!P8*Drivers!$E$45*Drivers!$E$43*Drivers!$E$46</f>
        <v>2375</v>
      </c>
      <c r="Q13" s="21" t="n">
        <f aca="false">Member_Build!Q8*Drivers!$E$45*Drivers!$E$43*Drivers!$E$46</f>
        <v>2625</v>
      </c>
      <c r="R13" s="21" t="n">
        <f aca="false">Member_Build!R8*Drivers!$E$45*Drivers!$E$43*Drivers!$E$46</f>
        <v>2875</v>
      </c>
      <c r="S13" s="21" t="n">
        <f aca="false">Member_Build!S8*Drivers!$E$45*Drivers!$E$43*Drivers!$E$46</f>
        <v>3125</v>
      </c>
      <c r="T13" s="21" t="n">
        <f aca="false">Member_Build!T8*Drivers!$E$45*Drivers!$E$43*Drivers!$E$46</f>
        <v>3375</v>
      </c>
      <c r="U13" s="21" t="n">
        <f aca="false">Member_Build!U8*Drivers!$E$45*Drivers!$E$43*Drivers!$E$46</f>
        <v>3625</v>
      </c>
      <c r="V13" s="21" t="n">
        <f aca="false">Member_Build!V8*Drivers!$E$45*Drivers!$E$43*Drivers!$E$46</f>
        <v>3875</v>
      </c>
      <c r="W13" s="21" t="n">
        <f aca="false">Member_Build!W8*Drivers!$E$45*Drivers!$E$43*Drivers!$E$46</f>
        <v>4125</v>
      </c>
      <c r="X13" s="21" t="n">
        <f aca="false">Member_Build!X8*Drivers!$E$45*Drivers!$E$43*Drivers!$E$46</f>
        <v>4375</v>
      </c>
      <c r="Y13" s="21" t="n">
        <f aca="false">Member_Build!Y8*Drivers!$E$45*Drivers!$E$43*Drivers!$E$46</f>
        <v>4625</v>
      </c>
      <c r="Z13" s="21" t="n">
        <f aca="false">Member_Build!Z8*Drivers!$E$45*Drivers!$E$43*Drivers!$E$46</f>
        <v>4875</v>
      </c>
      <c r="AA13" s="21" t="n">
        <f aca="false">Member_Build!AA8*Drivers!$E$45*Drivers!$E$43*Drivers!$E$46</f>
        <v>5208.33333333333</v>
      </c>
      <c r="AB13" s="21" t="n">
        <f aca="false">Member_Build!AB8*Drivers!$E$45*Drivers!$E$43*Drivers!$E$46</f>
        <v>5625</v>
      </c>
      <c r="AC13" s="21" t="n">
        <f aca="false">Member_Build!AC8*Drivers!$E$45*Drivers!$E$43*Drivers!$E$46</f>
        <v>6041.66666666667</v>
      </c>
      <c r="AD13" s="21" t="n">
        <f aca="false">Member_Build!AD8*Drivers!$E$45*Drivers!$E$43*Drivers!$E$46</f>
        <v>6458.33333333333</v>
      </c>
      <c r="AE13" s="21" t="n">
        <f aca="false">Member_Build!AE8*Drivers!$E$45*Drivers!$E$43*Drivers!$E$46</f>
        <v>6875</v>
      </c>
      <c r="AF13" s="21" t="n">
        <f aca="false">Member_Build!AF8*Drivers!$E$45*Drivers!$E$43*Drivers!$E$46</f>
        <v>7291.66666666667</v>
      </c>
      <c r="AG13" s="21" t="n">
        <f aca="false">Member_Build!AG8*Drivers!$E$45*Drivers!$E$43*Drivers!$E$46</f>
        <v>7708.33333333333</v>
      </c>
      <c r="AH13" s="21" t="n">
        <f aca="false">Member_Build!AH8*Drivers!$E$45*Drivers!$E$43*Drivers!$E$46</f>
        <v>8125</v>
      </c>
      <c r="AI13" s="21" t="n">
        <f aca="false">Member_Build!AI8*Drivers!$E$45*Drivers!$E$43*Drivers!$E$46</f>
        <v>8541.66666666667</v>
      </c>
      <c r="AJ13" s="21" t="n">
        <f aca="false">Member_Build!AJ8*Drivers!$E$45*Drivers!$E$43*Drivers!$E$46</f>
        <v>8958.33333333333</v>
      </c>
      <c r="AK13" s="21" t="n">
        <f aca="false">Member_Build!AK8*Drivers!$E$45*Drivers!$E$43*Drivers!$E$46</f>
        <v>9375</v>
      </c>
      <c r="AL13" s="21" t="n">
        <f aca="false">Member_Build!AL8*Drivers!$E$45*Drivers!$E$43*Drivers!$E$46</f>
        <v>9791.66666666667</v>
      </c>
    </row>
    <row r="14" customFormat="false" ht="15" hidden="false" customHeight="false" outlineLevel="0" collapsed="false">
      <c r="B14" s="8" t="s">
        <v>294</v>
      </c>
      <c r="C14" s="21" t="n">
        <f aca="false">Revenue!C14*(1-Drivers!$E$49)</f>
        <v>900</v>
      </c>
      <c r="D14" s="21" t="n">
        <f aca="false">Revenue!D14*(1-Drivers!$E$49)</f>
        <v>1063.63636363636</v>
      </c>
      <c r="E14" s="21" t="n">
        <f aca="false">Revenue!E14*(1-Drivers!$E$49)</f>
        <v>1390.90909090909</v>
      </c>
      <c r="F14" s="21" t="n">
        <f aca="false">Revenue!F14*(1-Drivers!$E$49)</f>
        <v>1718.18181818182</v>
      </c>
      <c r="G14" s="21" t="n">
        <f aca="false">Revenue!G14*(1-Drivers!$E$49)</f>
        <v>2045.45454545455</v>
      </c>
      <c r="H14" s="21" t="n">
        <f aca="false">Revenue!H14*(1-Drivers!$E$49)</f>
        <v>2372.72727272727</v>
      </c>
      <c r="I14" s="21" t="n">
        <f aca="false">Revenue!I14*(1-Drivers!$E$49)</f>
        <v>2700</v>
      </c>
      <c r="J14" s="21" t="n">
        <f aca="false">Revenue!J14*(1-Drivers!$E$49)</f>
        <v>3027.27272727273</v>
      </c>
      <c r="K14" s="21" t="n">
        <f aca="false">Revenue!K14*(1-Drivers!$E$49)</f>
        <v>3354.54545454546</v>
      </c>
      <c r="L14" s="21" t="n">
        <f aca="false">Revenue!L14*(1-Drivers!$E$49)</f>
        <v>3681.81818181818</v>
      </c>
      <c r="M14" s="21" t="n">
        <f aca="false">Revenue!M14*(1-Drivers!$E$49)</f>
        <v>4009.09090909091</v>
      </c>
      <c r="N14" s="21" t="n">
        <f aca="false">Revenue!N14*(1-Drivers!$E$49)</f>
        <v>4336.36363636364</v>
      </c>
      <c r="O14" s="21" t="n">
        <f aca="false">Revenue!O14*(1-Drivers!$E$49)</f>
        <v>4781.25</v>
      </c>
      <c r="P14" s="21" t="n">
        <f aca="false">Revenue!P14*(1-Drivers!$E$49)</f>
        <v>5343.75</v>
      </c>
      <c r="Q14" s="21" t="n">
        <f aca="false">Revenue!Q14*(1-Drivers!$E$49)</f>
        <v>5906.25</v>
      </c>
      <c r="R14" s="21" t="n">
        <f aca="false">Revenue!R14*(1-Drivers!$E$49)</f>
        <v>6468.75</v>
      </c>
      <c r="S14" s="21" t="n">
        <f aca="false">Revenue!S14*(1-Drivers!$E$49)</f>
        <v>7031.25</v>
      </c>
      <c r="T14" s="21" t="n">
        <f aca="false">Revenue!T14*(1-Drivers!$E$49)</f>
        <v>7593.75</v>
      </c>
      <c r="U14" s="21" t="n">
        <f aca="false">Revenue!U14*(1-Drivers!$E$49)</f>
        <v>8156.25</v>
      </c>
      <c r="V14" s="21" t="n">
        <f aca="false">Revenue!V14*(1-Drivers!$E$49)</f>
        <v>8718.75</v>
      </c>
      <c r="W14" s="21" t="n">
        <f aca="false">Revenue!W14*(1-Drivers!$E$49)</f>
        <v>9281.25</v>
      </c>
      <c r="X14" s="21" t="n">
        <f aca="false">Revenue!X14*(1-Drivers!$E$49)</f>
        <v>9843.75</v>
      </c>
      <c r="Y14" s="21" t="n">
        <f aca="false">Revenue!Y14*(1-Drivers!$E$49)</f>
        <v>10406.25</v>
      </c>
      <c r="Z14" s="21" t="n">
        <f aca="false">Revenue!Z14*(1-Drivers!$E$49)</f>
        <v>10968.75</v>
      </c>
      <c r="AA14" s="21" t="n">
        <f aca="false">Revenue!AA14*(1-Drivers!$E$49)</f>
        <v>11718.75</v>
      </c>
      <c r="AB14" s="21" t="n">
        <f aca="false">Revenue!AB14*(1-Drivers!$E$49)</f>
        <v>12656.25</v>
      </c>
      <c r="AC14" s="21" t="n">
        <f aca="false">Revenue!AC14*(1-Drivers!$E$49)</f>
        <v>13593.75</v>
      </c>
      <c r="AD14" s="21" t="n">
        <f aca="false">Revenue!AD14*(1-Drivers!$E$49)</f>
        <v>14531.25</v>
      </c>
      <c r="AE14" s="21" t="n">
        <f aca="false">Revenue!AE14*(1-Drivers!$E$49)</f>
        <v>15468.75</v>
      </c>
      <c r="AF14" s="21" t="n">
        <f aca="false">Revenue!AF14*(1-Drivers!$E$49)</f>
        <v>16406.25</v>
      </c>
      <c r="AG14" s="21" t="n">
        <f aca="false">Revenue!AG14*(1-Drivers!$E$49)</f>
        <v>17343.75</v>
      </c>
      <c r="AH14" s="21" t="n">
        <f aca="false">Revenue!AH14*(1-Drivers!$E$49)</f>
        <v>18281.25</v>
      </c>
      <c r="AI14" s="21" t="n">
        <f aca="false">Revenue!AI14*(1-Drivers!$E$49)</f>
        <v>19218.75</v>
      </c>
      <c r="AJ14" s="21" t="n">
        <f aca="false">Revenue!AJ14*(1-Drivers!$E$49)</f>
        <v>20156.25</v>
      </c>
      <c r="AK14" s="21" t="n">
        <f aca="false">Revenue!AK14*(1-Drivers!$E$49)</f>
        <v>21093.75</v>
      </c>
      <c r="AL14" s="21" t="n">
        <f aca="false">Revenue!AL14*(1-Drivers!$E$49)</f>
        <v>22031.25</v>
      </c>
    </row>
    <row r="15" customFormat="false" ht="15" hidden="false" customHeight="false" outlineLevel="0" collapsed="false">
      <c r="B15" s="8" t="s">
        <v>295</v>
      </c>
      <c r="C15" s="21" t="n">
        <f aca="false">Revenue!C15*(1-Drivers!$E$52)</f>
        <v>765</v>
      </c>
      <c r="D15" s="21" t="n">
        <f aca="false">Revenue!D15*(1-Drivers!$E$52)</f>
        <v>904.090909090909</v>
      </c>
      <c r="E15" s="21" t="n">
        <f aca="false">Revenue!E15*(1-Drivers!$E$52)</f>
        <v>1182.27272727273</v>
      </c>
      <c r="F15" s="21" t="n">
        <f aca="false">Revenue!F15*(1-Drivers!$E$52)</f>
        <v>1460.45454545455</v>
      </c>
      <c r="G15" s="21" t="n">
        <f aca="false">Revenue!G15*(1-Drivers!$E$52)</f>
        <v>1738.63636363636</v>
      </c>
      <c r="H15" s="21" t="n">
        <f aca="false">Revenue!H15*(1-Drivers!$E$52)</f>
        <v>2016.81818181818</v>
      </c>
      <c r="I15" s="21" t="n">
        <f aca="false">Revenue!I15*(1-Drivers!$E$52)</f>
        <v>2295</v>
      </c>
      <c r="J15" s="21" t="n">
        <f aca="false">Revenue!J15*(1-Drivers!$E$52)</f>
        <v>2573.18181818182</v>
      </c>
      <c r="K15" s="21" t="n">
        <f aca="false">Revenue!K15*(1-Drivers!$E$52)</f>
        <v>2851.36363636364</v>
      </c>
      <c r="L15" s="21" t="n">
        <f aca="false">Revenue!L15*(1-Drivers!$E$52)</f>
        <v>3129.54545454545</v>
      </c>
      <c r="M15" s="21" t="n">
        <f aca="false">Revenue!M15*(1-Drivers!$E$52)</f>
        <v>3407.72727272727</v>
      </c>
      <c r="N15" s="21" t="n">
        <f aca="false">Revenue!N15*(1-Drivers!$E$52)</f>
        <v>3685.90909090909</v>
      </c>
      <c r="O15" s="21" t="n">
        <f aca="false">Revenue!O15*(1-Drivers!$E$52)</f>
        <v>4064.0625</v>
      </c>
      <c r="P15" s="21" t="n">
        <f aca="false">Revenue!P15*(1-Drivers!$E$52)</f>
        <v>4542.1875</v>
      </c>
      <c r="Q15" s="21" t="n">
        <f aca="false">Revenue!Q15*(1-Drivers!$E$52)</f>
        <v>5020.3125</v>
      </c>
      <c r="R15" s="21" t="n">
        <f aca="false">Revenue!R15*(1-Drivers!$E$52)</f>
        <v>5498.4375</v>
      </c>
      <c r="S15" s="21" t="n">
        <f aca="false">Revenue!S15*(1-Drivers!$E$52)</f>
        <v>5976.5625</v>
      </c>
      <c r="T15" s="21" t="n">
        <f aca="false">Revenue!T15*(1-Drivers!$E$52)</f>
        <v>6454.6875</v>
      </c>
      <c r="U15" s="21" t="n">
        <f aca="false">Revenue!U15*(1-Drivers!$E$52)</f>
        <v>6932.8125</v>
      </c>
      <c r="V15" s="21" t="n">
        <f aca="false">Revenue!V15*(1-Drivers!$E$52)</f>
        <v>7410.9375</v>
      </c>
      <c r="W15" s="21" t="n">
        <f aca="false">Revenue!W15*(1-Drivers!$E$52)</f>
        <v>7889.0625</v>
      </c>
      <c r="X15" s="21" t="n">
        <f aca="false">Revenue!X15*(1-Drivers!$E$52)</f>
        <v>8367.1875</v>
      </c>
      <c r="Y15" s="21" t="n">
        <f aca="false">Revenue!Y15*(1-Drivers!$E$52)</f>
        <v>8845.3125</v>
      </c>
      <c r="Z15" s="21" t="n">
        <f aca="false">Revenue!Z15*(1-Drivers!$E$52)</f>
        <v>9323.4375</v>
      </c>
      <c r="AA15" s="21" t="n">
        <f aca="false">Revenue!AA15*(1-Drivers!$E$52)</f>
        <v>9960.9375</v>
      </c>
      <c r="AB15" s="21" t="n">
        <f aca="false">Revenue!AB15*(1-Drivers!$E$52)</f>
        <v>10757.8125</v>
      </c>
      <c r="AC15" s="21" t="n">
        <f aca="false">Revenue!AC15*(1-Drivers!$E$52)</f>
        <v>11554.6875</v>
      </c>
      <c r="AD15" s="21" t="n">
        <f aca="false">Revenue!AD15*(1-Drivers!$E$52)</f>
        <v>12351.5625</v>
      </c>
      <c r="AE15" s="21" t="n">
        <f aca="false">Revenue!AE15*(1-Drivers!$E$52)</f>
        <v>13148.4375</v>
      </c>
      <c r="AF15" s="21" t="n">
        <f aca="false">Revenue!AF15*(1-Drivers!$E$52)</f>
        <v>13945.3125</v>
      </c>
      <c r="AG15" s="21" t="n">
        <f aca="false">Revenue!AG15*(1-Drivers!$E$52)</f>
        <v>14742.1875</v>
      </c>
      <c r="AH15" s="21" t="n">
        <f aca="false">Revenue!AH15*(1-Drivers!$E$52)</f>
        <v>15539.0625</v>
      </c>
      <c r="AI15" s="21" t="n">
        <f aca="false">Revenue!AI15*(1-Drivers!$E$52)</f>
        <v>16335.9375</v>
      </c>
      <c r="AJ15" s="21" t="n">
        <f aca="false">Revenue!AJ15*(1-Drivers!$E$52)</f>
        <v>17132.8125</v>
      </c>
      <c r="AK15" s="21" t="n">
        <f aca="false">Revenue!AK15*(1-Drivers!$E$52)</f>
        <v>17929.6875</v>
      </c>
      <c r="AL15" s="21" t="n">
        <f aca="false">Revenue!AL15*(1-Drivers!$E$52)</f>
        <v>18726.5625</v>
      </c>
    </row>
    <row r="16" customFormat="false" ht="15" hidden="false" customHeight="false" outlineLevel="0" collapsed="false">
      <c r="B16" s="8" t="s">
        <v>296</v>
      </c>
      <c r="C16" s="21" t="n">
        <f aca="false">Member_Build!C8*Drivers!$E$64</f>
        <v>240</v>
      </c>
      <c r="D16" s="21" t="n">
        <f aca="false">Member_Build!D8*Drivers!$E$64</f>
        <v>283.636363636364</v>
      </c>
      <c r="E16" s="21" t="n">
        <f aca="false">Member_Build!E8*Drivers!$E$64</f>
        <v>370.909090909091</v>
      </c>
      <c r="F16" s="21" t="n">
        <f aca="false">Member_Build!F8*Drivers!$E$64</f>
        <v>458.181818181818</v>
      </c>
      <c r="G16" s="21" t="n">
        <f aca="false">Member_Build!G8*Drivers!$E$64</f>
        <v>545.454545454546</v>
      </c>
      <c r="H16" s="21" t="n">
        <f aca="false">Member_Build!H8*Drivers!$E$64</f>
        <v>632.727272727273</v>
      </c>
      <c r="I16" s="21" t="n">
        <f aca="false">Member_Build!I8*Drivers!$E$64</f>
        <v>720</v>
      </c>
      <c r="J16" s="21" t="n">
        <f aca="false">Member_Build!J8*Drivers!$E$64</f>
        <v>807.272727272727</v>
      </c>
      <c r="K16" s="21" t="n">
        <f aca="false">Member_Build!K8*Drivers!$E$64</f>
        <v>894.545454545455</v>
      </c>
      <c r="L16" s="21" t="n">
        <f aca="false">Member_Build!L8*Drivers!$E$64</f>
        <v>981.818181818182</v>
      </c>
      <c r="M16" s="21" t="n">
        <f aca="false">Member_Build!M8*Drivers!$E$64</f>
        <v>1069.09090909091</v>
      </c>
      <c r="N16" s="21" t="n">
        <f aca="false">Member_Build!N8*Drivers!$E$64</f>
        <v>1156.36363636364</v>
      </c>
      <c r="O16" s="21" t="n">
        <f aca="false">Member_Build!O8*Drivers!$E$64</f>
        <v>1275</v>
      </c>
      <c r="P16" s="21" t="n">
        <f aca="false">Member_Build!P8*Drivers!$E$64</f>
        <v>1425</v>
      </c>
      <c r="Q16" s="21" t="n">
        <f aca="false">Member_Build!Q8*Drivers!$E$64</f>
        <v>1575</v>
      </c>
      <c r="R16" s="21" t="n">
        <f aca="false">Member_Build!R8*Drivers!$E$64</f>
        <v>1725</v>
      </c>
      <c r="S16" s="21" t="n">
        <f aca="false">Member_Build!S8*Drivers!$E$64</f>
        <v>1875</v>
      </c>
      <c r="T16" s="21" t="n">
        <f aca="false">Member_Build!T8*Drivers!$E$64</f>
        <v>2025</v>
      </c>
      <c r="U16" s="21" t="n">
        <f aca="false">Member_Build!U8*Drivers!$E$64</f>
        <v>2175</v>
      </c>
      <c r="V16" s="21" t="n">
        <f aca="false">Member_Build!V8*Drivers!$E$64</f>
        <v>2325</v>
      </c>
      <c r="W16" s="21" t="n">
        <f aca="false">Member_Build!W8*Drivers!$E$64</f>
        <v>2475</v>
      </c>
      <c r="X16" s="21" t="n">
        <f aca="false">Member_Build!X8*Drivers!$E$64</f>
        <v>2625</v>
      </c>
      <c r="Y16" s="21" t="n">
        <f aca="false">Member_Build!Y8*Drivers!$E$64</f>
        <v>2775</v>
      </c>
      <c r="Z16" s="21" t="n">
        <f aca="false">Member_Build!Z8*Drivers!$E$64</f>
        <v>2925</v>
      </c>
      <c r="AA16" s="21" t="n">
        <f aca="false">Member_Build!AA8*Drivers!$E$64</f>
        <v>3125</v>
      </c>
      <c r="AB16" s="21" t="n">
        <f aca="false">Member_Build!AB8*Drivers!$E$64</f>
        <v>3375</v>
      </c>
      <c r="AC16" s="21" t="n">
        <f aca="false">Member_Build!AC8*Drivers!$E$64</f>
        <v>3625</v>
      </c>
      <c r="AD16" s="21" t="n">
        <f aca="false">Member_Build!AD8*Drivers!$E$64</f>
        <v>3875</v>
      </c>
      <c r="AE16" s="21" t="n">
        <f aca="false">Member_Build!AE8*Drivers!$E$64</f>
        <v>4125</v>
      </c>
      <c r="AF16" s="21" t="n">
        <f aca="false">Member_Build!AF8*Drivers!$E$64</f>
        <v>4375</v>
      </c>
      <c r="AG16" s="21" t="n">
        <f aca="false">Member_Build!AG8*Drivers!$E$64</f>
        <v>4625</v>
      </c>
      <c r="AH16" s="21" t="n">
        <f aca="false">Member_Build!AH8*Drivers!$E$64</f>
        <v>4875</v>
      </c>
      <c r="AI16" s="21" t="n">
        <f aca="false">Member_Build!AI8*Drivers!$E$64</f>
        <v>5125</v>
      </c>
      <c r="AJ16" s="21" t="n">
        <f aca="false">Member_Build!AJ8*Drivers!$E$64</f>
        <v>5375</v>
      </c>
      <c r="AK16" s="21" t="n">
        <f aca="false">Member_Build!AK8*Drivers!$E$64</f>
        <v>5625</v>
      </c>
      <c r="AL16" s="21" t="n">
        <f aca="false">Member_Build!AL8*Drivers!$E$64</f>
        <v>5875</v>
      </c>
    </row>
    <row r="17" customFormat="false" ht="15" hidden="false" customHeight="false" outlineLevel="0" collapsed="false">
      <c r="B17" s="8" t="s">
        <v>297</v>
      </c>
      <c r="C17" s="21" t="n">
        <f aca="false">Member_Build!C8*Drivers!$E$65</f>
        <v>100</v>
      </c>
      <c r="D17" s="21" t="n">
        <f aca="false">Member_Build!D8*Drivers!$E$65</f>
        <v>118.181818181818</v>
      </c>
      <c r="E17" s="21" t="n">
        <f aca="false">Member_Build!E8*Drivers!$E$65</f>
        <v>154.545454545455</v>
      </c>
      <c r="F17" s="21" t="n">
        <f aca="false">Member_Build!F8*Drivers!$E$65</f>
        <v>190.909090909091</v>
      </c>
      <c r="G17" s="21" t="n">
        <f aca="false">Member_Build!G8*Drivers!$E$65</f>
        <v>227.272727272727</v>
      </c>
      <c r="H17" s="21" t="n">
        <f aca="false">Member_Build!H8*Drivers!$E$65</f>
        <v>263.636363636364</v>
      </c>
      <c r="I17" s="21" t="n">
        <f aca="false">Member_Build!I8*Drivers!$E$65</f>
        <v>300</v>
      </c>
      <c r="J17" s="21" t="n">
        <f aca="false">Member_Build!J8*Drivers!$E$65</f>
        <v>336.363636363636</v>
      </c>
      <c r="K17" s="21" t="n">
        <f aca="false">Member_Build!K8*Drivers!$E$65</f>
        <v>372.727272727273</v>
      </c>
      <c r="L17" s="21" t="n">
        <f aca="false">Member_Build!L8*Drivers!$E$65</f>
        <v>409.090909090909</v>
      </c>
      <c r="M17" s="21" t="n">
        <f aca="false">Member_Build!M8*Drivers!$E$65</f>
        <v>445.454545454546</v>
      </c>
      <c r="N17" s="21" t="n">
        <f aca="false">Member_Build!N8*Drivers!$E$65</f>
        <v>481.818181818182</v>
      </c>
      <c r="O17" s="21" t="n">
        <f aca="false">Member_Build!O8*Drivers!$E$65</f>
        <v>531.25</v>
      </c>
      <c r="P17" s="21" t="n">
        <f aca="false">Member_Build!P8*Drivers!$E$65</f>
        <v>593.75</v>
      </c>
      <c r="Q17" s="21" t="n">
        <f aca="false">Member_Build!Q8*Drivers!$E$65</f>
        <v>656.25</v>
      </c>
      <c r="R17" s="21" t="n">
        <f aca="false">Member_Build!R8*Drivers!$E$65</f>
        <v>718.75</v>
      </c>
      <c r="S17" s="21" t="n">
        <f aca="false">Member_Build!S8*Drivers!$E$65</f>
        <v>781.25</v>
      </c>
      <c r="T17" s="21" t="n">
        <f aca="false">Member_Build!T8*Drivers!$E$65</f>
        <v>843.75</v>
      </c>
      <c r="U17" s="21" t="n">
        <f aca="false">Member_Build!U8*Drivers!$E$65</f>
        <v>906.25</v>
      </c>
      <c r="V17" s="21" t="n">
        <f aca="false">Member_Build!V8*Drivers!$E$65</f>
        <v>968.75</v>
      </c>
      <c r="W17" s="21" t="n">
        <f aca="false">Member_Build!W8*Drivers!$E$65</f>
        <v>1031.25</v>
      </c>
      <c r="X17" s="21" t="n">
        <f aca="false">Member_Build!X8*Drivers!$E$65</f>
        <v>1093.75</v>
      </c>
      <c r="Y17" s="21" t="n">
        <f aca="false">Member_Build!Y8*Drivers!$E$65</f>
        <v>1156.25</v>
      </c>
      <c r="Z17" s="21" t="n">
        <f aca="false">Member_Build!Z8*Drivers!$E$65</f>
        <v>1218.75</v>
      </c>
      <c r="AA17" s="21" t="n">
        <f aca="false">Member_Build!AA8*Drivers!$E$65</f>
        <v>1302.08333333333</v>
      </c>
      <c r="AB17" s="21" t="n">
        <f aca="false">Member_Build!AB8*Drivers!$E$65</f>
        <v>1406.25</v>
      </c>
      <c r="AC17" s="21" t="n">
        <f aca="false">Member_Build!AC8*Drivers!$E$65</f>
        <v>1510.41666666667</v>
      </c>
      <c r="AD17" s="21" t="n">
        <f aca="false">Member_Build!AD8*Drivers!$E$65</f>
        <v>1614.58333333333</v>
      </c>
      <c r="AE17" s="21" t="n">
        <f aca="false">Member_Build!AE8*Drivers!$E$65</f>
        <v>1718.75</v>
      </c>
      <c r="AF17" s="21" t="n">
        <f aca="false">Member_Build!AF8*Drivers!$E$65</f>
        <v>1822.91666666667</v>
      </c>
      <c r="AG17" s="21" t="n">
        <f aca="false">Member_Build!AG8*Drivers!$E$65</f>
        <v>1927.08333333333</v>
      </c>
      <c r="AH17" s="21" t="n">
        <f aca="false">Member_Build!AH8*Drivers!$E$65</f>
        <v>2031.25</v>
      </c>
      <c r="AI17" s="21" t="n">
        <f aca="false">Member_Build!AI8*Drivers!$E$65</f>
        <v>2135.41666666667</v>
      </c>
      <c r="AJ17" s="21" t="n">
        <f aca="false">Member_Build!AJ8*Drivers!$E$65</f>
        <v>2239.58333333333</v>
      </c>
      <c r="AK17" s="21" t="n">
        <f aca="false">Member_Build!AK8*Drivers!$E$65</f>
        <v>2343.75</v>
      </c>
      <c r="AL17" s="21" t="n">
        <f aca="false">Member_Build!AL8*Drivers!$E$65</f>
        <v>2447.91666666667</v>
      </c>
    </row>
    <row r="18" customFormat="false" ht="15" hidden="false" customHeight="false" outlineLevel="0" collapsed="false">
      <c r="B18" s="8" t="s">
        <v>298</v>
      </c>
      <c r="C18" s="21" t="n">
        <f aca="false">Revenue!C21*Drivers!$E$66</f>
        <v>2773.35584103561</v>
      </c>
      <c r="D18" s="21" t="n">
        <f aca="false">Revenue!D21*Drivers!$E$66</f>
        <v>4419.64781213299</v>
      </c>
      <c r="E18" s="21" t="n">
        <f aca="false">Revenue!E21*Drivers!$E$66</f>
        <v>5530.41357250957</v>
      </c>
      <c r="F18" s="21" t="n">
        <f aca="false">Revenue!F21*Drivers!$E$66</f>
        <v>6641.17933288616</v>
      </c>
      <c r="G18" s="21" t="n">
        <f aca="false">Revenue!G21*Drivers!$E$66</f>
        <v>7751.94509326274</v>
      </c>
      <c r="H18" s="21" t="n">
        <f aca="false">Revenue!H21*Drivers!$E$66</f>
        <v>8862.71085363933</v>
      </c>
      <c r="I18" s="21" t="n">
        <f aca="false">Revenue!I21*Drivers!$E$66</f>
        <v>9973.47661401591</v>
      </c>
      <c r="J18" s="21" t="n">
        <f aca="false">Revenue!J21*Drivers!$E$66</f>
        <v>11084.2423743925</v>
      </c>
      <c r="K18" s="21" t="n">
        <f aca="false">Revenue!K21*Drivers!$E$66</f>
        <v>12195.0081347691</v>
      </c>
      <c r="L18" s="21" t="n">
        <f aca="false">Revenue!L21*Drivers!$E$66</f>
        <v>13305.7738951457</v>
      </c>
      <c r="M18" s="21" t="n">
        <f aca="false">Revenue!M21*Drivers!$E$66</f>
        <v>14416.5396555222</v>
      </c>
      <c r="N18" s="21" t="n">
        <f aca="false">Revenue!N21*Drivers!$E$66</f>
        <v>15527.3054158988</v>
      </c>
      <c r="O18" s="21" t="n">
        <f aca="false">Revenue!O21*Drivers!$E$66</f>
        <v>17835.0154055017</v>
      </c>
      <c r="P18" s="21" t="n">
        <f aca="false">Revenue!P21*Drivers!$E$66</f>
        <v>19771.4878061489</v>
      </c>
      <c r="Q18" s="21" t="n">
        <f aca="false">Revenue!Q21*Drivers!$E$66</f>
        <v>21707.9602067962</v>
      </c>
      <c r="R18" s="21" t="n">
        <f aca="false">Revenue!R21*Drivers!$E$66</f>
        <v>23644.4326074434</v>
      </c>
      <c r="S18" s="21" t="n">
        <f aca="false">Revenue!S21*Drivers!$E$66</f>
        <v>25580.9050080907</v>
      </c>
      <c r="T18" s="21" t="n">
        <f aca="false">Revenue!T21*Drivers!$E$66</f>
        <v>27517.3774087379</v>
      </c>
      <c r="U18" s="21" t="n">
        <f aca="false">Revenue!U21*Drivers!$E$66</f>
        <v>29453.8498093852</v>
      </c>
      <c r="V18" s="21" t="n">
        <f aca="false">Revenue!V21*Drivers!$E$66</f>
        <v>31390.3222100324</v>
      </c>
      <c r="W18" s="21" t="n">
        <f aca="false">Revenue!W21*Drivers!$E$66</f>
        <v>33326.7946106797</v>
      </c>
      <c r="X18" s="21" t="n">
        <f aca="false">Revenue!X21*Drivers!$E$66</f>
        <v>35263.267011327</v>
      </c>
      <c r="Y18" s="21" t="n">
        <f aca="false">Revenue!Y21*Drivers!$E$66</f>
        <v>37199.7394119742</v>
      </c>
      <c r="Z18" s="21" t="n">
        <f aca="false">Revenue!Z21*Drivers!$E$66</f>
        <v>39136.2118126215</v>
      </c>
      <c r="AA18" s="21" t="n">
        <f aca="false">Revenue!AA21*Drivers!$E$66</f>
        <v>42947.3416801511</v>
      </c>
      <c r="AB18" s="21" t="n">
        <f aca="false">Revenue!AB21*Drivers!$E$66</f>
        <v>46133.1290145632</v>
      </c>
      <c r="AC18" s="21" t="n">
        <f aca="false">Revenue!AC21*Drivers!$E$66</f>
        <v>49318.9163489753</v>
      </c>
      <c r="AD18" s="21" t="n">
        <f aca="false">Revenue!AD21*Drivers!$E$66</f>
        <v>52504.7036833874</v>
      </c>
      <c r="AE18" s="21" t="n">
        <f aca="false">Revenue!AE21*Drivers!$E$66</f>
        <v>55690.4910177995</v>
      </c>
      <c r="AF18" s="21" t="n">
        <f aca="false">Revenue!AF21*Drivers!$E$66</f>
        <v>58876.2783522116</v>
      </c>
      <c r="AG18" s="21" t="n">
        <f aca="false">Revenue!AG21*Drivers!$E$66</f>
        <v>62062.0656866237</v>
      </c>
      <c r="AH18" s="21" t="n">
        <f aca="false">Revenue!AH21*Drivers!$E$66</f>
        <v>65247.8530210358</v>
      </c>
      <c r="AI18" s="21" t="n">
        <f aca="false">Revenue!AI21*Drivers!$E$66</f>
        <v>68433.6403554479</v>
      </c>
      <c r="AJ18" s="21" t="n">
        <f aca="false">Revenue!AJ21*Drivers!$E$66</f>
        <v>71619.42768986</v>
      </c>
      <c r="AK18" s="21" t="n">
        <f aca="false">Revenue!AK21*Drivers!$E$66</f>
        <v>74805.215024272</v>
      </c>
      <c r="AL18" s="21" t="n">
        <f aca="false">Revenue!AL21*Drivers!$E$66</f>
        <v>77991.0023586841</v>
      </c>
    </row>
    <row r="19" customFormat="false" ht="15" hidden="false" customHeight="false" outlineLevel="0" collapsed="false">
      <c r="B19" s="8" t="s">
        <v>299</v>
      </c>
      <c r="C19" s="21" t="n">
        <f aca="false">Member_Build!C16*Drivers!$E$34</f>
        <v>250</v>
      </c>
      <c r="D19" s="21" t="n">
        <f aca="false">Member_Build!D16*Drivers!$E$34</f>
        <v>465.909090909091</v>
      </c>
      <c r="E19" s="21" t="n">
        <f aca="false">Member_Build!E16*Drivers!$E$34</f>
        <v>897.727272727273</v>
      </c>
      <c r="F19" s="21" t="n">
        <f aca="false">Member_Build!F16*Drivers!$E$34</f>
        <v>1329.54545454545</v>
      </c>
      <c r="G19" s="21" t="n">
        <f aca="false">Member_Build!G16*Drivers!$E$34</f>
        <v>1761.36363636364</v>
      </c>
      <c r="H19" s="21" t="n">
        <f aca="false">Member_Build!H16*Drivers!$E$34</f>
        <v>2193.18181818182</v>
      </c>
      <c r="I19" s="21" t="n">
        <f aca="false">Member_Build!I16*Drivers!$E$34</f>
        <v>2625</v>
      </c>
      <c r="J19" s="21" t="n">
        <f aca="false">Member_Build!J16*Drivers!$E$34</f>
        <v>3056.81818181818</v>
      </c>
      <c r="K19" s="21" t="n">
        <f aca="false">Member_Build!K16*Drivers!$E$34</f>
        <v>3488.63636363636</v>
      </c>
      <c r="L19" s="21" t="n">
        <f aca="false">Member_Build!L16*Drivers!$E$34</f>
        <v>3920.45454545455</v>
      </c>
      <c r="M19" s="21" t="n">
        <f aca="false">Member_Build!M16*Drivers!$E$34</f>
        <v>4352.27272727273</v>
      </c>
      <c r="N19" s="21" t="n">
        <f aca="false">Member_Build!N16*Drivers!$E$34</f>
        <v>4784.09090909091</v>
      </c>
      <c r="O19" s="21" t="n">
        <f aca="false">Member_Build!O16*Drivers!$E$34</f>
        <v>5416.66666666667</v>
      </c>
      <c r="P19" s="21" t="n">
        <f aca="false">Member_Build!P16*Drivers!$E$34</f>
        <v>6250</v>
      </c>
      <c r="Q19" s="21" t="n">
        <f aca="false">Member_Build!Q16*Drivers!$E$34</f>
        <v>7083.33333333333</v>
      </c>
      <c r="R19" s="21" t="n">
        <f aca="false">Member_Build!R16*Drivers!$E$34</f>
        <v>7916.66666666667</v>
      </c>
      <c r="S19" s="21" t="n">
        <f aca="false">Member_Build!S16*Drivers!$E$34</f>
        <v>8750</v>
      </c>
      <c r="T19" s="21" t="n">
        <f aca="false">Member_Build!T16*Drivers!$E$34</f>
        <v>9583.33333333333</v>
      </c>
      <c r="U19" s="21" t="n">
        <f aca="false">Member_Build!U16*Drivers!$E$34</f>
        <v>10416.6666666667</v>
      </c>
      <c r="V19" s="21" t="n">
        <f aca="false">Member_Build!V16*Drivers!$E$34</f>
        <v>11250</v>
      </c>
      <c r="W19" s="21" t="n">
        <f aca="false">Member_Build!W16*Drivers!$E$34</f>
        <v>12083.3333333333</v>
      </c>
      <c r="X19" s="21" t="n">
        <f aca="false">Member_Build!X16*Drivers!$E$34</f>
        <v>12916.6666666667</v>
      </c>
      <c r="Y19" s="21" t="n">
        <f aca="false">Member_Build!Y16*Drivers!$E$34</f>
        <v>13750</v>
      </c>
      <c r="Z19" s="21" t="n">
        <f aca="false">Member_Build!Z16*Drivers!$E$34</f>
        <v>14583.3333333333</v>
      </c>
      <c r="AA19" s="21" t="n">
        <f aca="false">Member_Build!AA16*Drivers!$E$34</f>
        <v>15625</v>
      </c>
      <c r="AB19" s="21" t="n">
        <f aca="false">Member_Build!AB16*Drivers!$E$34</f>
        <v>16875</v>
      </c>
      <c r="AC19" s="21" t="n">
        <f aca="false">Member_Build!AC16*Drivers!$E$34</f>
        <v>18125</v>
      </c>
      <c r="AD19" s="21" t="n">
        <f aca="false">Member_Build!AD16*Drivers!$E$34</f>
        <v>19375</v>
      </c>
      <c r="AE19" s="21" t="n">
        <f aca="false">Member_Build!AE16*Drivers!$E$34</f>
        <v>20625</v>
      </c>
      <c r="AF19" s="21" t="n">
        <f aca="false">Member_Build!AF16*Drivers!$E$34</f>
        <v>21875</v>
      </c>
      <c r="AG19" s="21" t="n">
        <f aca="false">Member_Build!AG16*Drivers!$E$34</f>
        <v>23125</v>
      </c>
      <c r="AH19" s="21" t="n">
        <f aca="false">Member_Build!AH16*Drivers!$E$34</f>
        <v>24375</v>
      </c>
      <c r="AI19" s="21" t="n">
        <f aca="false">Member_Build!AI16*Drivers!$E$34</f>
        <v>25625</v>
      </c>
      <c r="AJ19" s="21" t="n">
        <f aca="false">Member_Build!AJ16*Drivers!$E$34</f>
        <v>26875</v>
      </c>
      <c r="AK19" s="21" t="n">
        <f aca="false">Member_Build!AK16*Drivers!$E$34</f>
        <v>28125</v>
      </c>
      <c r="AL19" s="21" t="n">
        <f aca="false">Member_Build!AL16*Drivers!$E$34</f>
        <v>29375</v>
      </c>
    </row>
    <row r="21" customFormat="false" ht="15" hidden="false" customHeight="false" outlineLevel="0" collapsed="false">
      <c r="B21" s="10" t="s">
        <v>300</v>
      </c>
      <c r="C21" s="30" t="n">
        <f aca="false">SUM(C7:C19)</f>
        <v>30225.0225077023</v>
      </c>
      <c r="D21" s="30" t="n">
        <f aca="false">SUM(D7:D19)</f>
        <v>37032.9811454663</v>
      </c>
      <c r="E21" s="30" t="n">
        <f aca="false">SUM(E7:E19)</f>
        <v>48467.0802391762</v>
      </c>
      <c r="F21" s="30" t="n">
        <f aca="false">SUM(F7:F19)</f>
        <v>59901.1793328862</v>
      </c>
      <c r="G21" s="30" t="n">
        <f aca="false">SUM(G7:G19)</f>
        <v>71335.2784265961</v>
      </c>
      <c r="H21" s="30" t="n">
        <f aca="false">SUM(H7:H19)</f>
        <v>82769.377520306</v>
      </c>
      <c r="I21" s="30" t="n">
        <f aca="false">SUM(I7:I19)</f>
        <v>94203.4766140159</v>
      </c>
      <c r="J21" s="30" t="n">
        <f aca="false">SUM(J7:J19)</f>
        <v>105637.575707726</v>
      </c>
      <c r="K21" s="30" t="n">
        <f aca="false">SUM(K7:K19)</f>
        <v>117071.674801436</v>
      </c>
      <c r="L21" s="30" t="n">
        <f aca="false">SUM(L7:L19)</f>
        <v>128505.773895146</v>
      </c>
      <c r="M21" s="30" t="n">
        <f aca="false">SUM(M7:M19)</f>
        <v>139939.872988856</v>
      </c>
      <c r="N21" s="30" t="n">
        <f aca="false">SUM(N7:N19)</f>
        <v>151373.972082566</v>
      </c>
      <c r="O21" s="30" t="n">
        <f aca="false">SUM(O7:O19)</f>
        <v>167760.536238835</v>
      </c>
      <c r="P21" s="30" t="n">
        <f aca="false">SUM(P7:P19)</f>
        <v>187531.383639482</v>
      </c>
      <c r="Q21" s="30" t="n">
        <f aca="false">SUM(Q7:Q19)</f>
        <v>207302.23104013</v>
      </c>
      <c r="R21" s="30" t="n">
        <f aca="false">SUM(R7:R19)</f>
        <v>227073.078440777</v>
      </c>
      <c r="S21" s="30" t="n">
        <f aca="false">SUM(S7:S19)</f>
        <v>246843.925841424</v>
      </c>
      <c r="T21" s="30" t="n">
        <f aca="false">SUM(T7:T19)</f>
        <v>266614.773242071</v>
      </c>
      <c r="U21" s="30" t="n">
        <f aca="false">SUM(U7:U19)</f>
        <v>286385.620642719</v>
      </c>
      <c r="V21" s="30" t="n">
        <f aca="false">SUM(V7:V19)</f>
        <v>306156.468043366</v>
      </c>
      <c r="W21" s="30" t="n">
        <f aca="false">SUM(W7:W19)</f>
        <v>325927.315444013</v>
      </c>
      <c r="X21" s="30" t="n">
        <f aca="false">SUM(X7:X19)</f>
        <v>345698.16284466</v>
      </c>
      <c r="Y21" s="30" t="n">
        <f aca="false">SUM(Y7:Y19)</f>
        <v>365469.010245308</v>
      </c>
      <c r="Z21" s="30" t="n">
        <f aca="false">SUM(Z7:Z19)</f>
        <v>385239.857645955</v>
      </c>
      <c r="AA21" s="30" t="n">
        <f aca="false">SUM(AA7:AA19)</f>
        <v>412760.709735707</v>
      </c>
      <c r="AB21" s="30" t="n">
        <f aca="false">SUM(AB7:AB19)</f>
        <v>445531.566514563</v>
      </c>
      <c r="AC21" s="30" t="n">
        <f aca="false">SUM(AC7:AC19)</f>
        <v>478302.42329342</v>
      </c>
      <c r="AD21" s="30" t="n">
        <f aca="false">SUM(AD7:AD19)</f>
        <v>511073.280072276</v>
      </c>
      <c r="AE21" s="30" t="n">
        <f aca="false">SUM(AE7:AE19)</f>
        <v>543844.136851133</v>
      </c>
      <c r="AF21" s="30" t="n">
        <f aca="false">SUM(AF7:AF19)</f>
        <v>576614.993629989</v>
      </c>
      <c r="AG21" s="30" t="n">
        <f aca="false">SUM(AG7:AG19)</f>
        <v>609385.850408846</v>
      </c>
      <c r="AH21" s="30" t="n">
        <f aca="false">SUM(AH7:AH19)</f>
        <v>642156.707187702</v>
      </c>
      <c r="AI21" s="30" t="n">
        <f aca="false">SUM(AI7:AI19)</f>
        <v>674927.563966559</v>
      </c>
      <c r="AJ21" s="30" t="n">
        <f aca="false">SUM(AJ7:AJ19)</f>
        <v>707698.420745416</v>
      </c>
      <c r="AK21" s="30" t="n">
        <f aca="false">SUM(AK7:AK19)</f>
        <v>740469.277524272</v>
      </c>
      <c r="AL21" s="30" t="n">
        <f aca="false">SUM(AL7:AL19)</f>
        <v>773240.134303129</v>
      </c>
    </row>
    <row r="22" customFormat="false" ht="15" hidden="false" customHeight="false" outlineLevel="0" collapsed="false">
      <c r="B22" s="10" t="s">
        <v>301</v>
      </c>
      <c r="C22" s="30" t="n">
        <f aca="false">Revenue!C21-C21</f>
        <v>62220.1721934846</v>
      </c>
      <c r="D22" s="30" t="n">
        <f aca="false">Revenue!D21-D21</f>
        <v>110288.6125923</v>
      </c>
      <c r="E22" s="30" t="n">
        <f aca="false">Revenue!E21-E21</f>
        <v>135880.038844476</v>
      </c>
      <c r="F22" s="30" t="n">
        <f aca="false">Revenue!F21-F21</f>
        <v>161471.465096652</v>
      </c>
      <c r="G22" s="30" t="n">
        <f aca="false">Revenue!G21-G21</f>
        <v>187062.891348829</v>
      </c>
      <c r="H22" s="30" t="n">
        <f aca="false">Revenue!H21-H21</f>
        <v>212654.317601005</v>
      </c>
      <c r="I22" s="30" t="n">
        <f aca="false">Revenue!I21-I21</f>
        <v>238245.743853181</v>
      </c>
      <c r="J22" s="30" t="n">
        <f aca="false">Revenue!J21-J21</f>
        <v>263837.170105357</v>
      </c>
      <c r="K22" s="30" t="n">
        <f aca="false">Revenue!K21-K21</f>
        <v>289428.596357534</v>
      </c>
      <c r="L22" s="30" t="n">
        <f aca="false">Revenue!L21-L21</f>
        <v>315020.02260971</v>
      </c>
      <c r="M22" s="30" t="n">
        <f aca="false">Revenue!M21-M21</f>
        <v>340611.448861886</v>
      </c>
      <c r="N22" s="30" t="n">
        <f aca="false">Revenue!N21-N21</f>
        <v>366202.875114062</v>
      </c>
      <c r="O22" s="30" t="n">
        <f aca="false">Revenue!O21-O21</f>
        <v>426739.977277887</v>
      </c>
      <c r="P22" s="30" t="n">
        <f aca="false">Revenue!P21-P21</f>
        <v>471518.209898815</v>
      </c>
      <c r="Q22" s="30" t="n">
        <f aca="false">Revenue!Q21-Q21</f>
        <v>516296.442519743</v>
      </c>
      <c r="R22" s="30" t="n">
        <f aca="false">Revenue!R21-R21</f>
        <v>561074.675140671</v>
      </c>
      <c r="S22" s="30" t="n">
        <f aca="false">Revenue!S21-S21</f>
        <v>605852.907761599</v>
      </c>
      <c r="T22" s="30" t="n">
        <f aca="false">Revenue!T21-T21</f>
        <v>650631.140382527</v>
      </c>
      <c r="U22" s="30" t="n">
        <f aca="false">Revenue!U21-U21</f>
        <v>695409.373003454</v>
      </c>
      <c r="V22" s="30" t="n">
        <f aca="false">Revenue!V21-V21</f>
        <v>740187.605624382</v>
      </c>
      <c r="W22" s="30" t="n">
        <f aca="false">Revenue!W21-W21</f>
        <v>784965.83824531</v>
      </c>
      <c r="X22" s="30" t="n">
        <f aca="false">Revenue!X21-X21</f>
        <v>829744.070866238</v>
      </c>
      <c r="Y22" s="30" t="n">
        <f aca="false">Revenue!Y21-Y21</f>
        <v>874522.303487166</v>
      </c>
      <c r="Z22" s="30" t="n">
        <f aca="false">Revenue!Z21-Z21</f>
        <v>919300.536108094</v>
      </c>
      <c r="AA22" s="30" t="n">
        <f aca="false">Revenue!AA21-AA21</f>
        <v>1018817.34626933</v>
      </c>
      <c r="AB22" s="30" t="n">
        <f aca="false">Revenue!AB21-AB21</f>
        <v>1092239.40063754</v>
      </c>
      <c r="AC22" s="30" t="n">
        <f aca="false">Revenue!AC21-AC21</f>
        <v>1165661.45500576</v>
      </c>
      <c r="AD22" s="30" t="n">
        <f aca="false">Revenue!AD21-AD21</f>
        <v>1239083.50937397</v>
      </c>
      <c r="AE22" s="30" t="n">
        <f aca="false">Revenue!AE21-AE21</f>
        <v>1312505.56374218</v>
      </c>
      <c r="AF22" s="30" t="n">
        <f aca="false">Revenue!AF21-AF21</f>
        <v>1385927.6181104</v>
      </c>
      <c r="AG22" s="30" t="n">
        <f aca="false">Revenue!AG21-AG21</f>
        <v>1459349.67247861</v>
      </c>
      <c r="AH22" s="30" t="n">
        <f aca="false">Revenue!AH21-AH21</f>
        <v>1532771.72684682</v>
      </c>
      <c r="AI22" s="30" t="n">
        <f aca="false">Revenue!AI21-AI21</f>
        <v>1606193.78121504</v>
      </c>
      <c r="AJ22" s="30" t="n">
        <f aca="false">Revenue!AJ21-AJ21</f>
        <v>1679615.83558325</v>
      </c>
      <c r="AK22" s="30" t="n">
        <f aca="false">Revenue!AK21-AK21</f>
        <v>1753037.88995146</v>
      </c>
      <c r="AL22" s="30" t="n">
        <f aca="false">Revenue!AL21-AL21</f>
        <v>1826459.94431968</v>
      </c>
    </row>
    <row r="23" customFormat="false" ht="15" hidden="false" customHeight="false" outlineLevel="0" collapsed="false">
      <c r="B23" s="8" t="s">
        <v>12</v>
      </c>
      <c r="C23" s="24" t="n">
        <f aca="false">IFERROR(C22/Revenue!C21,0)</f>
        <v>0.67304928498015</v>
      </c>
      <c r="D23" s="24" t="n">
        <f aca="false">IFERROR(D22/Revenue!D21,0)</f>
        <v>0.748624894654715</v>
      </c>
      <c r="E23" s="24" t="n">
        <f aca="false">IFERROR(E22/Revenue!E21,0)</f>
        <v>0.737087943223116</v>
      </c>
      <c r="F23" s="24" t="n">
        <f aca="false">IFERROR(F22/Revenue!F21,0)</f>
        <v>0.729410201123778</v>
      </c>
      <c r="G23" s="24" t="n">
        <f aca="false">IFERROR(G22/Revenue!G21,0)</f>
        <v>0.723932725651293</v>
      </c>
      <c r="H23" s="24" t="n">
        <f aca="false">IFERROR(H22/Revenue!H21,0)</f>
        <v>0.719828236911335</v>
      </c>
      <c r="I23" s="24" t="n">
        <f aca="false">IFERROR(I22/Revenue!I21,0)</f>
        <v>0.716637998183211</v>
      </c>
      <c r="J23" s="24" t="n">
        <f aca="false">IFERROR(J22/Revenue!J21,0)</f>
        <v>0.714087155063183</v>
      </c>
      <c r="K23" s="24" t="n">
        <f aca="false">IFERROR(K22/Revenue!K21,0)</f>
        <v>0.712000992108434</v>
      </c>
      <c r="L23" s="24" t="n">
        <f aca="false">IFERROR(L22/Revenue!L21,0)</f>
        <v>0.710263134843976</v>
      </c>
      <c r="M23" s="24" t="n">
        <f aca="false">IFERROR(M22/Revenue!M21,0)</f>
        <v>0.708793074483893</v>
      </c>
      <c r="N23" s="24" t="n">
        <f aca="false">IFERROR(N22/Revenue!N21,0)</f>
        <v>0.707533339440397</v>
      </c>
      <c r="O23" s="24" t="n">
        <f aca="false">IFERROR(O22/Revenue!O21,0)</f>
        <v>0.717812630225565</v>
      </c>
      <c r="P23" s="24" t="n">
        <f aca="false">IFERROR(P22/Revenue!P21,0)</f>
        <v>0.71545178772865</v>
      </c>
      <c r="Q23" s="24" t="n">
        <f aca="false">IFERROR(Q22/Revenue!Q21,0)</f>
        <v>0.713512146145502</v>
      </c>
      <c r="R23" s="24" t="n">
        <f aca="false">IFERROR(R22/Revenue!R21,0)</f>
        <v>0.711890216765922</v>
      </c>
      <c r="S23" s="24" t="n">
        <f aca="false">IFERROR(S22/Revenue!S21,0)</f>
        <v>0.71051384722704</v>
      </c>
      <c r="T23" s="24" t="n">
        <f aca="false">IFERROR(T22/Revenue!T21,0)</f>
        <v>0.709331195395013</v>
      </c>
      <c r="U23" s="24" t="n">
        <f aca="false">IFERROR(U22/Revenue!U21,0)</f>
        <v>0.708304052784844</v>
      </c>
      <c r="V23" s="24" t="n">
        <f aca="false">IFERROR(V22/Revenue!V21,0)</f>
        <v>0.707403639253964</v>
      </c>
      <c r="W23" s="24" t="n">
        <f aca="false">IFERROR(W22/Revenue!W21,0)</f>
        <v>0.706607863806168</v>
      </c>
      <c r="X23" s="24" t="n">
        <f aca="false">IFERROR(X22/Revenue!X21,0)</f>
        <v>0.705899487928655</v>
      </c>
      <c r="Y23" s="24" t="n">
        <f aca="false">IFERROR(Y22/Revenue!Y21,0)</f>
        <v>0.705264862585838</v>
      </c>
      <c r="Z23" s="24" t="n">
        <f aca="false">IFERROR(Z22/Revenue!Z21,0)</f>
        <v>0.704693040176887</v>
      </c>
      <c r="AA23" s="24" t="n">
        <f aca="false">IFERROR(AA22/Revenue!AA21,0)</f>
        <v>0.711674324704615</v>
      </c>
      <c r="AB23" s="24" t="n">
        <f aca="false">IFERROR(AB22/Revenue!AB21,0)</f>
        <v>0.710274432258485</v>
      </c>
      <c r="AC23" s="24" t="n">
        <f aca="false">IFERROR(AC22/Revenue!AC21,0)</f>
        <v>0.709055393730265</v>
      </c>
      <c r="AD23" s="24" t="n">
        <f aca="false">IFERROR(AD22/Revenue!AD21,0)</f>
        <v>0.70798428851967</v>
      </c>
      <c r="AE23" s="24" t="n">
        <f aca="false">IFERROR(AE22/Revenue!AE21,0)</f>
        <v>0.707035728948424</v>
      </c>
      <c r="AF23" s="24" t="n">
        <f aca="false">IFERROR(AF22/Revenue!AF21,0)</f>
        <v>0.70618982223339</v>
      </c>
      <c r="AG23" s="24" t="n">
        <f aca="false">IFERROR(AG22/Revenue!AG21,0)</f>
        <v>0.70543076015909</v>
      </c>
      <c r="AH23" s="24" t="n">
        <f aca="false">IFERROR(AH22/Revenue!AH21,0)</f>
        <v>0.704745821913555</v>
      </c>
      <c r="AI23" s="24" t="n">
        <f aca="false">IFERROR(AI22/Revenue!AI21,0)</f>
        <v>0.704124655449739</v>
      </c>
      <c r="AJ23" s="24" t="n">
        <f aca="false">IFERROR(AJ22/Revenue!AJ21,0)</f>
        <v>0.703558750646532</v>
      </c>
      <c r="AK23" s="24" t="n">
        <f aca="false">IFERROR(AK22/Revenue!AK21,0)</f>
        <v>0.703041047091164</v>
      </c>
      <c r="AL23" s="24" t="n">
        <f aca="false">IFERROR(AL22/Revenue!AL21,0)</f>
        <v>0.702565637989766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8" min="3" style="0" width="9"/>
  </cols>
  <sheetData>
    <row r="2" customFormat="false" ht="22.05" hidden="false" customHeight="false" outlineLevel="0" collapsed="false">
      <c r="B2" s="1" t="s">
        <v>302</v>
      </c>
    </row>
    <row r="3" customFormat="false" ht="43.25" hidden="false" customHeight="false" outlineLevel="0" collapsed="false">
      <c r="B3" s="16" t="s">
        <v>303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8" t="s">
        <v>304</v>
      </c>
      <c r="C7" s="21" t="n">
        <f aca="false">(Drivers!$E$71)*Drivers!$E$70/12*(1+Drivers!$E$69)</f>
        <v>40666.6666666667</v>
      </c>
      <c r="D7" s="21" t="n">
        <f aca="false">(Drivers!$E$71)*Drivers!$E$70/12*(1+Drivers!$E$69)</f>
        <v>40666.6666666667</v>
      </c>
      <c r="E7" s="21" t="n">
        <f aca="false">(Drivers!$E$71)*Drivers!$E$70/12*(1+Drivers!$E$69)</f>
        <v>40666.6666666667</v>
      </c>
      <c r="F7" s="21" t="n">
        <f aca="false">(Drivers!$E$71)*Drivers!$E$70/12*(1+Drivers!$E$69)</f>
        <v>40666.6666666667</v>
      </c>
      <c r="G7" s="21" t="n">
        <f aca="false">(Drivers!$E$71)*Drivers!$E$70/12*(1+Drivers!$E$69)</f>
        <v>40666.6666666667</v>
      </c>
      <c r="H7" s="21" t="n">
        <f aca="false">(Drivers!$E$71)*Drivers!$E$70/12*(1+Drivers!$E$69)</f>
        <v>40666.6666666667</v>
      </c>
      <c r="I7" s="21" t="n">
        <f aca="false">(Drivers!$E$71)*Drivers!$E$70/12*(1+Drivers!$E$69)</f>
        <v>40666.6666666667</v>
      </c>
      <c r="J7" s="21" t="n">
        <f aca="false">(Drivers!$E$71)*Drivers!$E$70/12*(1+Drivers!$E$69)</f>
        <v>40666.6666666667</v>
      </c>
      <c r="K7" s="21" t="n">
        <f aca="false">(Drivers!$E$71)*Drivers!$E$70/12*(1+Drivers!$E$69)</f>
        <v>40666.6666666667</v>
      </c>
      <c r="L7" s="21" t="n">
        <f aca="false">(Drivers!$E$71)*Drivers!$E$70/12*(1+Drivers!$E$69)</f>
        <v>40666.6666666667</v>
      </c>
      <c r="M7" s="21" t="n">
        <f aca="false">(Drivers!$E$71)*Drivers!$E$70/12*(1+Drivers!$E$69)</f>
        <v>40666.6666666667</v>
      </c>
      <c r="N7" s="21" t="n">
        <f aca="false">(Drivers!$E$71)*Drivers!$E$70/12*(1+Drivers!$E$69)</f>
        <v>40666.6666666667</v>
      </c>
      <c r="O7" s="21" t="n">
        <f aca="false">(Drivers!$E$71+(13-12)/12*(Drivers!$E$72-Drivers!$E$71))*Drivers!$E$70/12*(1+Drivers!$E$69)</f>
        <v>40666.6666666667</v>
      </c>
      <c r="P7" s="21" t="n">
        <f aca="false">(Drivers!$E$71+(14-12)/12*(Drivers!$E$72-Drivers!$E$71))*Drivers!$E$70/12*(1+Drivers!$E$69)</f>
        <v>40666.6666666667</v>
      </c>
      <c r="Q7" s="21" t="n">
        <f aca="false">(Drivers!$E$71+(15-12)/12*(Drivers!$E$72-Drivers!$E$71))*Drivers!$E$70/12*(1+Drivers!$E$69)</f>
        <v>40666.6666666667</v>
      </c>
      <c r="R7" s="21" t="n">
        <f aca="false">(Drivers!$E$71+(16-12)/12*(Drivers!$E$72-Drivers!$E$71))*Drivers!$E$70/12*(1+Drivers!$E$69)</f>
        <v>40666.6666666667</v>
      </c>
      <c r="S7" s="21" t="n">
        <f aca="false">(Drivers!$E$71+(17-12)/12*(Drivers!$E$72-Drivers!$E$71))*Drivers!$E$70/12*(1+Drivers!$E$69)</f>
        <v>40666.6666666667</v>
      </c>
      <c r="T7" s="21" t="n">
        <f aca="false">(Drivers!$E$71+(18-12)/12*(Drivers!$E$72-Drivers!$E$71))*Drivers!$E$70/12*(1+Drivers!$E$69)</f>
        <v>40666.6666666667</v>
      </c>
      <c r="U7" s="21" t="n">
        <f aca="false">(Drivers!$E$71+(19-12)/12*(Drivers!$E$72-Drivers!$E$71))*Drivers!$E$70/12*(1+Drivers!$E$69)</f>
        <v>40666.6666666667</v>
      </c>
      <c r="V7" s="21" t="n">
        <f aca="false">(Drivers!$E$71+(20-12)/12*(Drivers!$E$72-Drivers!$E$71))*Drivers!$E$70/12*(1+Drivers!$E$69)</f>
        <v>40666.6666666667</v>
      </c>
      <c r="W7" s="21" t="n">
        <f aca="false">(Drivers!$E$71+(21-12)/12*(Drivers!$E$72-Drivers!$E$71))*Drivers!$E$70/12*(1+Drivers!$E$69)</f>
        <v>40666.6666666667</v>
      </c>
      <c r="X7" s="21" t="n">
        <f aca="false">(Drivers!$E$71+(22-12)/12*(Drivers!$E$72-Drivers!$E$71))*Drivers!$E$70/12*(1+Drivers!$E$69)</f>
        <v>40666.6666666667</v>
      </c>
      <c r="Y7" s="21" t="n">
        <f aca="false">(Drivers!$E$71+(23-12)/12*(Drivers!$E$72-Drivers!$E$71))*Drivers!$E$70/12*(1+Drivers!$E$69)</f>
        <v>40666.6666666667</v>
      </c>
      <c r="Z7" s="21" t="n">
        <f aca="false">(Drivers!$E$71+(24-12)/12*(Drivers!$E$72-Drivers!$E$71))*Drivers!$E$70/12*(1+Drivers!$E$69)</f>
        <v>40666.6666666667</v>
      </c>
      <c r="AA7" s="21" t="n">
        <f aca="false">(Drivers!$E$72+(25-24)/12*(Drivers!$E$73-Drivers!$E$72))*Drivers!$E$70/12*(1+Drivers!$E$69)</f>
        <v>40666.6666666667</v>
      </c>
      <c r="AB7" s="21" t="n">
        <f aca="false">(Drivers!$E$72+(26-24)/12*(Drivers!$E$73-Drivers!$E$72))*Drivers!$E$70/12*(1+Drivers!$E$69)</f>
        <v>40666.6666666667</v>
      </c>
      <c r="AC7" s="21" t="n">
        <f aca="false">(Drivers!$E$72+(27-24)/12*(Drivers!$E$73-Drivers!$E$72))*Drivers!$E$70/12*(1+Drivers!$E$69)</f>
        <v>40666.6666666667</v>
      </c>
      <c r="AD7" s="21" t="n">
        <f aca="false">(Drivers!$E$72+(28-24)/12*(Drivers!$E$73-Drivers!$E$72))*Drivers!$E$70/12*(1+Drivers!$E$69)</f>
        <v>40666.6666666667</v>
      </c>
      <c r="AE7" s="21" t="n">
        <f aca="false">(Drivers!$E$72+(29-24)/12*(Drivers!$E$73-Drivers!$E$72))*Drivers!$E$70/12*(1+Drivers!$E$69)</f>
        <v>40666.6666666667</v>
      </c>
      <c r="AF7" s="21" t="n">
        <f aca="false">(Drivers!$E$72+(30-24)/12*(Drivers!$E$73-Drivers!$E$72))*Drivers!$E$70/12*(1+Drivers!$E$69)</f>
        <v>40666.6666666667</v>
      </c>
      <c r="AG7" s="21" t="n">
        <f aca="false">(Drivers!$E$72+(31-24)/12*(Drivers!$E$73-Drivers!$E$72))*Drivers!$E$70/12*(1+Drivers!$E$69)</f>
        <v>40666.6666666667</v>
      </c>
      <c r="AH7" s="21" t="n">
        <f aca="false">(Drivers!$E$72+(32-24)/12*(Drivers!$E$73-Drivers!$E$72))*Drivers!$E$70/12*(1+Drivers!$E$69)</f>
        <v>40666.6666666667</v>
      </c>
      <c r="AI7" s="21" t="n">
        <f aca="false">(Drivers!$E$72+(33-24)/12*(Drivers!$E$73-Drivers!$E$72))*Drivers!$E$70/12*(1+Drivers!$E$69)</f>
        <v>40666.6666666667</v>
      </c>
      <c r="AJ7" s="21" t="n">
        <f aca="false">(Drivers!$E$72+(34-24)/12*(Drivers!$E$73-Drivers!$E$72))*Drivers!$E$70/12*(1+Drivers!$E$69)</f>
        <v>40666.6666666667</v>
      </c>
      <c r="AK7" s="21" t="n">
        <f aca="false">(Drivers!$E$72+(35-24)/12*(Drivers!$E$73-Drivers!$E$72))*Drivers!$E$70/12*(1+Drivers!$E$69)</f>
        <v>40666.6666666667</v>
      </c>
      <c r="AL7" s="21" t="n">
        <f aca="false">(Drivers!$E$72+(36-24)/12*(Drivers!$E$73-Drivers!$E$72))*Drivers!$E$70/12*(1+Drivers!$E$69)</f>
        <v>40666.6666666667</v>
      </c>
    </row>
    <row r="8" customFormat="false" ht="15" hidden="false" customHeight="false" outlineLevel="0" collapsed="false">
      <c r="B8" s="8" t="s">
        <v>305</v>
      </c>
      <c r="C8" s="21" t="n">
        <f aca="false">(Drivers!$E$75)*Drivers!$E$74/12*(1+Drivers!$E$69)</f>
        <v>12200</v>
      </c>
      <c r="D8" s="21" t="n">
        <f aca="false">(Drivers!$E$75)*Drivers!$E$74/12*(1+Drivers!$E$69)</f>
        <v>12200</v>
      </c>
      <c r="E8" s="21" t="n">
        <f aca="false">(Drivers!$E$75)*Drivers!$E$74/12*(1+Drivers!$E$69)</f>
        <v>12200</v>
      </c>
      <c r="F8" s="21" t="n">
        <f aca="false">(Drivers!$E$75)*Drivers!$E$74/12*(1+Drivers!$E$69)</f>
        <v>12200</v>
      </c>
      <c r="G8" s="21" t="n">
        <f aca="false">(Drivers!$E$75)*Drivers!$E$74/12*(1+Drivers!$E$69)</f>
        <v>12200</v>
      </c>
      <c r="H8" s="21" t="n">
        <f aca="false">(Drivers!$E$75)*Drivers!$E$74/12*(1+Drivers!$E$69)</f>
        <v>12200</v>
      </c>
      <c r="I8" s="21" t="n">
        <f aca="false">(Drivers!$E$75)*Drivers!$E$74/12*(1+Drivers!$E$69)</f>
        <v>12200</v>
      </c>
      <c r="J8" s="21" t="n">
        <f aca="false">(Drivers!$E$75)*Drivers!$E$74/12*(1+Drivers!$E$69)</f>
        <v>12200</v>
      </c>
      <c r="K8" s="21" t="n">
        <f aca="false">(Drivers!$E$75)*Drivers!$E$74/12*(1+Drivers!$E$69)</f>
        <v>12200</v>
      </c>
      <c r="L8" s="21" t="n">
        <f aca="false">(Drivers!$E$75)*Drivers!$E$74/12*(1+Drivers!$E$69)</f>
        <v>12200</v>
      </c>
      <c r="M8" s="21" t="n">
        <f aca="false">(Drivers!$E$75)*Drivers!$E$74/12*(1+Drivers!$E$69)</f>
        <v>12200</v>
      </c>
      <c r="N8" s="21" t="n">
        <f aca="false">(Drivers!$E$75)*Drivers!$E$74/12*(1+Drivers!$E$69)</f>
        <v>12200</v>
      </c>
      <c r="O8" s="21" t="n">
        <f aca="false">(Drivers!$E$75+(13-12)/12*(Drivers!$E$76-Drivers!$E$75))*Drivers!$E$74/12*(1+Drivers!$E$69)</f>
        <v>12200</v>
      </c>
      <c r="P8" s="21" t="n">
        <f aca="false">(Drivers!$E$75+(14-12)/12*(Drivers!$E$76-Drivers!$E$75))*Drivers!$E$74/12*(1+Drivers!$E$69)</f>
        <v>12200</v>
      </c>
      <c r="Q8" s="21" t="n">
        <f aca="false">(Drivers!$E$75+(15-12)/12*(Drivers!$E$76-Drivers!$E$75))*Drivers!$E$74/12*(1+Drivers!$E$69)</f>
        <v>12200</v>
      </c>
      <c r="R8" s="21" t="n">
        <f aca="false">(Drivers!$E$75+(16-12)/12*(Drivers!$E$76-Drivers!$E$75))*Drivers!$E$74/12*(1+Drivers!$E$69)</f>
        <v>12200</v>
      </c>
      <c r="S8" s="21" t="n">
        <f aca="false">(Drivers!$E$75+(17-12)/12*(Drivers!$E$76-Drivers!$E$75))*Drivers!$E$74/12*(1+Drivers!$E$69)</f>
        <v>12200</v>
      </c>
      <c r="T8" s="21" t="n">
        <f aca="false">(Drivers!$E$75+(18-12)/12*(Drivers!$E$76-Drivers!$E$75))*Drivers!$E$74/12*(1+Drivers!$E$69)</f>
        <v>12200</v>
      </c>
      <c r="U8" s="21" t="n">
        <f aca="false">(Drivers!$E$75+(19-12)/12*(Drivers!$E$76-Drivers!$E$75))*Drivers!$E$74/12*(1+Drivers!$E$69)</f>
        <v>12200</v>
      </c>
      <c r="V8" s="21" t="n">
        <f aca="false">(Drivers!$E$75+(20-12)/12*(Drivers!$E$76-Drivers!$E$75))*Drivers!$E$74/12*(1+Drivers!$E$69)</f>
        <v>12200</v>
      </c>
      <c r="W8" s="21" t="n">
        <f aca="false">(Drivers!$E$75+(21-12)/12*(Drivers!$E$76-Drivers!$E$75))*Drivers!$E$74/12*(1+Drivers!$E$69)</f>
        <v>12200</v>
      </c>
      <c r="X8" s="21" t="n">
        <f aca="false">(Drivers!$E$75+(22-12)/12*(Drivers!$E$76-Drivers!$E$75))*Drivers!$E$74/12*(1+Drivers!$E$69)</f>
        <v>12200</v>
      </c>
      <c r="Y8" s="21" t="n">
        <f aca="false">(Drivers!$E$75+(23-12)/12*(Drivers!$E$76-Drivers!$E$75))*Drivers!$E$74/12*(1+Drivers!$E$69)</f>
        <v>12200</v>
      </c>
      <c r="Z8" s="21" t="n">
        <f aca="false">(Drivers!$E$75+(24-12)/12*(Drivers!$E$76-Drivers!$E$75))*Drivers!$E$74/12*(1+Drivers!$E$69)</f>
        <v>12200</v>
      </c>
      <c r="AA8" s="21" t="n">
        <f aca="false">(Drivers!$E$76+(25-24)/12*(Drivers!$E$77-Drivers!$E$76))*Drivers!$E$74/12*(1+Drivers!$E$69)</f>
        <v>12200</v>
      </c>
      <c r="AB8" s="21" t="n">
        <f aca="false">(Drivers!$E$76+(26-24)/12*(Drivers!$E$77-Drivers!$E$76))*Drivers!$E$74/12*(1+Drivers!$E$69)</f>
        <v>12200</v>
      </c>
      <c r="AC8" s="21" t="n">
        <f aca="false">(Drivers!$E$76+(27-24)/12*(Drivers!$E$77-Drivers!$E$76))*Drivers!$E$74/12*(1+Drivers!$E$69)</f>
        <v>12200</v>
      </c>
      <c r="AD8" s="21" t="n">
        <f aca="false">(Drivers!$E$76+(28-24)/12*(Drivers!$E$77-Drivers!$E$76))*Drivers!$E$74/12*(1+Drivers!$E$69)</f>
        <v>12200</v>
      </c>
      <c r="AE8" s="21" t="n">
        <f aca="false">(Drivers!$E$76+(29-24)/12*(Drivers!$E$77-Drivers!$E$76))*Drivers!$E$74/12*(1+Drivers!$E$69)</f>
        <v>12200</v>
      </c>
      <c r="AF8" s="21" t="n">
        <f aca="false">(Drivers!$E$76+(30-24)/12*(Drivers!$E$77-Drivers!$E$76))*Drivers!$E$74/12*(1+Drivers!$E$69)</f>
        <v>12200</v>
      </c>
      <c r="AG8" s="21" t="n">
        <f aca="false">(Drivers!$E$76+(31-24)/12*(Drivers!$E$77-Drivers!$E$76))*Drivers!$E$74/12*(1+Drivers!$E$69)</f>
        <v>12200</v>
      </c>
      <c r="AH8" s="21" t="n">
        <f aca="false">(Drivers!$E$76+(32-24)/12*(Drivers!$E$77-Drivers!$E$76))*Drivers!$E$74/12*(1+Drivers!$E$69)</f>
        <v>12200</v>
      </c>
      <c r="AI8" s="21" t="n">
        <f aca="false">(Drivers!$E$76+(33-24)/12*(Drivers!$E$77-Drivers!$E$76))*Drivers!$E$74/12*(1+Drivers!$E$69)</f>
        <v>12200</v>
      </c>
      <c r="AJ8" s="21" t="n">
        <f aca="false">(Drivers!$E$76+(34-24)/12*(Drivers!$E$77-Drivers!$E$76))*Drivers!$E$74/12*(1+Drivers!$E$69)</f>
        <v>12200</v>
      </c>
      <c r="AK8" s="21" t="n">
        <f aca="false">(Drivers!$E$76+(35-24)/12*(Drivers!$E$77-Drivers!$E$76))*Drivers!$E$74/12*(1+Drivers!$E$69)</f>
        <v>12200</v>
      </c>
      <c r="AL8" s="21" t="n">
        <f aca="false">(Drivers!$E$76+(36-24)/12*(Drivers!$E$77-Drivers!$E$76))*Drivers!$E$74/12*(1+Drivers!$E$69)</f>
        <v>12200</v>
      </c>
    </row>
    <row r="9" customFormat="false" ht="15" hidden="false" customHeight="false" outlineLevel="0" collapsed="false">
      <c r="B9" s="8" t="s">
        <v>306</v>
      </c>
      <c r="C9" s="21" t="n">
        <f aca="false">(Drivers!$E$79)*Drivers!$E$78/12*(1+Drivers!$E$69)</f>
        <v>15250</v>
      </c>
      <c r="D9" s="21" t="n">
        <f aca="false">(Drivers!$E$79)*Drivers!$E$78/12*(1+Drivers!$E$69)</f>
        <v>15250</v>
      </c>
      <c r="E9" s="21" t="n">
        <f aca="false">(Drivers!$E$79)*Drivers!$E$78/12*(1+Drivers!$E$69)</f>
        <v>15250</v>
      </c>
      <c r="F9" s="21" t="n">
        <f aca="false">(Drivers!$E$79)*Drivers!$E$78/12*(1+Drivers!$E$69)</f>
        <v>15250</v>
      </c>
      <c r="G9" s="21" t="n">
        <f aca="false">(Drivers!$E$79)*Drivers!$E$78/12*(1+Drivers!$E$69)</f>
        <v>15250</v>
      </c>
      <c r="H9" s="21" t="n">
        <f aca="false">(Drivers!$E$79)*Drivers!$E$78/12*(1+Drivers!$E$69)</f>
        <v>15250</v>
      </c>
      <c r="I9" s="21" t="n">
        <f aca="false">(Drivers!$E$79)*Drivers!$E$78/12*(1+Drivers!$E$69)</f>
        <v>15250</v>
      </c>
      <c r="J9" s="21" t="n">
        <f aca="false">(Drivers!$E$79)*Drivers!$E$78/12*(1+Drivers!$E$69)</f>
        <v>15250</v>
      </c>
      <c r="K9" s="21" t="n">
        <f aca="false">(Drivers!$E$79)*Drivers!$E$78/12*(1+Drivers!$E$69)</f>
        <v>15250</v>
      </c>
      <c r="L9" s="21" t="n">
        <f aca="false">(Drivers!$E$79)*Drivers!$E$78/12*(1+Drivers!$E$69)</f>
        <v>15250</v>
      </c>
      <c r="M9" s="21" t="n">
        <f aca="false">(Drivers!$E$79)*Drivers!$E$78/12*(1+Drivers!$E$69)</f>
        <v>15250</v>
      </c>
      <c r="N9" s="21" t="n">
        <f aca="false">(Drivers!$E$79)*Drivers!$E$78/12*(1+Drivers!$E$69)</f>
        <v>15250</v>
      </c>
      <c r="O9" s="21" t="n">
        <f aca="false">(Drivers!$E$79+(13-12)/12*(Drivers!$E$80-Drivers!$E$79))*Drivers!$E$78/12*(1+Drivers!$E$69)</f>
        <v>16520.8333333333</v>
      </c>
      <c r="P9" s="21" t="n">
        <f aca="false">(Drivers!$E$79+(14-12)/12*(Drivers!$E$80-Drivers!$E$79))*Drivers!$E$78/12*(1+Drivers!$E$69)</f>
        <v>17791.6666666667</v>
      </c>
      <c r="Q9" s="21" t="n">
        <f aca="false">(Drivers!$E$79+(15-12)/12*(Drivers!$E$80-Drivers!$E$79))*Drivers!$E$78/12*(1+Drivers!$E$69)</f>
        <v>19062.5</v>
      </c>
      <c r="R9" s="21" t="n">
        <f aca="false">(Drivers!$E$79+(16-12)/12*(Drivers!$E$80-Drivers!$E$79))*Drivers!$E$78/12*(1+Drivers!$E$69)</f>
        <v>20333.3333333333</v>
      </c>
      <c r="S9" s="21" t="n">
        <f aca="false">(Drivers!$E$79+(17-12)/12*(Drivers!$E$80-Drivers!$E$79))*Drivers!$E$78/12*(1+Drivers!$E$69)</f>
        <v>21604.1666666667</v>
      </c>
      <c r="T9" s="21" t="n">
        <f aca="false">(Drivers!$E$79+(18-12)/12*(Drivers!$E$80-Drivers!$E$79))*Drivers!$E$78/12*(1+Drivers!$E$69)</f>
        <v>22875</v>
      </c>
      <c r="U9" s="21" t="n">
        <f aca="false">(Drivers!$E$79+(19-12)/12*(Drivers!$E$80-Drivers!$E$79))*Drivers!$E$78/12*(1+Drivers!$E$69)</f>
        <v>24145.8333333333</v>
      </c>
      <c r="V9" s="21" t="n">
        <f aca="false">(Drivers!$E$79+(20-12)/12*(Drivers!$E$80-Drivers!$E$79))*Drivers!$E$78/12*(1+Drivers!$E$69)</f>
        <v>25416.6666666667</v>
      </c>
      <c r="W9" s="21" t="n">
        <f aca="false">(Drivers!$E$79+(21-12)/12*(Drivers!$E$80-Drivers!$E$79))*Drivers!$E$78/12*(1+Drivers!$E$69)</f>
        <v>26687.5</v>
      </c>
      <c r="X9" s="21" t="n">
        <f aca="false">(Drivers!$E$79+(22-12)/12*(Drivers!$E$80-Drivers!$E$79))*Drivers!$E$78/12*(1+Drivers!$E$69)</f>
        <v>27958.3333333333</v>
      </c>
      <c r="Y9" s="21" t="n">
        <f aca="false">(Drivers!$E$79+(23-12)/12*(Drivers!$E$80-Drivers!$E$79))*Drivers!$E$78/12*(1+Drivers!$E$69)</f>
        <v>29229.1666666667</v>
      </c>
      <c r="Z9" s="21" t="n">
        <f aca="false">(Drivers!$E$79+(24-12)/12*(Drivers!$E$80-Drivers!$E$79))*Drivers!$E$78/12*(1+Drivers!$E$69)</f>
        <v>30500</v>
      </c>
      <c r="AA9" s="21" t="n">
        <f aca="false">(Drivers!$E$80+(25-24)/12*(Drivers!$E$81-Drivers!$E$80))*Drivers!$E$78/12*(1+Drivers!$E$69)</f>
        <v>31770.8333333333</v>
      </c>
      <c r="AB9" s="21" t="n">
        <f aca="false">(Drivers!$E$80+(26-24)/12*(Drivers!$E$81-Drivers!$E$80))*Drivers!$E$78/12*(1+Drivers!$E$69)</f>
        <v>33041.6666666667</v>
      </c>
      <c r="AC9" s="21" t="n">
        <f aca="false">(Drivers!$E$80+(27-24)/12*(Drivers!$E$81-Drivers!$E$80))*Drivers!$E$78/12*(1+Drivers!$E$69)</f>
        <v>34312.5</v>
      </c>
      <c r="AD9" s="21" t="n">
        <f aca="false">(Drivers!$E$80+(28-24)/12*(Drivers!$E$81-Drivers!$E$80))*Drivers!$E$78/12*(1+Drivers!$E$69)</f>
        <v>35583.3333333333</v>
      </c>
      <c r="AE9" s="21" t="n">
        <f aca="false">(Drivers!$E$80+(29-24)/12*(Drivers!$E$81-Drivers!$E$80))*Drivers!$E$78/12*(1+Drivers!$E$69)</f>
        <v>36854.1666666667</v>
      </c>
      <c r="AF9" s="21" t="n">
        <f aca="false">(Drivers!$E$80+(30-24)/12*(Drivers!$E$81-Drivers!$E$80))*Drivers!$E$78/12*(1+Drivers!$E$69)</f>
        <v>38125</v>
      </c>
      <c r="AG9" s="21" t="n">
        <f aca="false">(Drivers!$E$80+(31-24)/12*(Drivers!$E$81-Drivers!$E$80))*Drivers!$E$78/12*(1+Drivers!$E$69)</f>
        <v>39395.8333333333</v>
      </c>
      <c r="AH9" s="21" t="n">
        <f aca="false">(Drivers!$E$80+(32-24)/12*(Drivers!$E$81-Drivers!$E$80))*Drivers!$E$78/12*(1+Drivers!$E$69)</f>
        <v>40666.6666666667</v>
      </c>
      <c r="AI9" s="21" t="n">
        <f aca="false">(Drivers!$E$80+(33-24)/12*(Drivers!$E$81-Drivers!$E$80))*Drivers!$E$78/12*(1+Drivers!$E$69)</f>
        <v>41937.5</v>
      </c>
      <c r="AJ9" s="21" t="n">
        <f aca="false">(Drivers!$E$80+(34-24)/12*(Drivers!$E$81-Drivers!$E$80))*Drivers!$E$78/12*(1+Drivers!$E$69)</f>
        <v>43208.3333333333</v>
      </c>
      <c r="AK9" s="21" t="n">
        <f aca="false">(Drivers!$E$80+(35-24)/12*(Drivers!$E$81-Drivers!$E$80))*Drivers!$E$78/12*(1+Drivers!$E$69)</f>
        <v>44479.1666666667</v>
      </c>
      <c r="AL9" s="21" t="n">
        <f aca="false">(Drivers!$E$80+(36-24)/12*(Drivers!$E$81-Drivers!$E$80))*Drivers!$E$78/12*(1+Drivers!$E$69)</f>
        <v>45750</v>
      </c>
    </row>
    <row r="10" customFormat="false" ht="15" hidden="false" customHeight="false" outlineLevel="0" collapsed="false">
      <c r="B10" s="8" t="s">
        <v>307</v>
      </c>
      <c r="C10" s="21" t="n">
        <f aca="false">(Drivers!$E$83)*Drivers!$E$82/12*(1+Drivers!$E$69)</f>
        <v>9556.66666666667</v>
      </c>
      <c r="D10" s="21" t="n">
        <f aca="false">(Drivers!$E$83)*Drivers!$E$82/12*(1+Drivers!$E$69)</f>
        <v>9556.66666666667</v>
      </c>
      <c r="E10" s="21" t="n">
        <f aca="false">(Drivers!$E$83)*Drivers!$E$82/12*(1+Drivers!$E$69)</f>
        <v>9556.66666666667</v>
      </c>
      <c r="F10" s="21" t="n">
        <f aca="false">(Drivers!$E$83)*Drivers!$E$82/12*(1+Drivers!$E$69)</f>
        <v>9556.66666666667</v>
      </c>
      <c r="G10" s="21" t="n">
        <f aca="false">(Drivers!$E$83)*Drivers!$E$82/12*(1+Drivers!$E$69)</f>
        <v>9556.66666666667</v>
      </c>
      <c r="H10" s="21" t="n">
        <f aca="false">(Drivers!$E$83)*Drivers!$E$82/12*(1+Drivers!$E$69)</f>
        <v>9556.66666666667</v>
      </c>
      <c r="I10" s="21" t="n">
        <f aca="false">(Drivers!$E$83)*Drivers!$E$82/12*(1+Drivers!$E$69)</f>
        <v>9556.66666666667</v>
      </c>
      <c r="J10" s="21" t="n">
        <f aca="false">(Drivers!$E$83)*Drivers!$E$82/12*(1+Drivers!$E$69)</f>
        <v>9556.66666666667</v>
      </c>
      <c r="K10" s="21" t="n">
        <f aca="false">(Drivers!$E$83)*Drivers!$E$82/12*(1+Drivers!$E$69)</f>
        <v>9556.66666666667</v>
      </c>
      <c r="L10" s="21" t="n">
        <f aca="false">(Drivers!$E$83)*Drivers!$E$82/12*(1+Drivers!$E$69)</f>
        <v>9556.66666666667</v>
      </c>
      <c r="M10" s="21" t="n">
        <f aca="false">(Drivers!$E$83)*Drivers!$E$82/12*(1+Drivers!$E$69)</f>
        <v>9556.66666666667</v>
      </c>
      <c r="N10" s="21" t="n">
        <f aca="false">(Drivers!$E$83)*Drivers!$E$82/12*(1+Drivers!$E$69)</f>
        <v>9556.66666666667</v>
      </c>
      <c r="O10" s="21" t="n">
        <f aca="false">(Drivers!$E$83+(13-12)/12*(Drivers!$E$84-Drivers!$E$83))*Drivers!$E$82/12*(1+Drivers!$E$69)</f>
        <v>10353.0555555556</v>
      </c>
      <c r="P10" s="21" t="n">
        <f aca="false">(Drivers!$E$83+(14-12)/12*(Drivers!$E$84-Drivers!$E$83))*Drivers!$E$82/12*(1+Drivers!$E$69)</f>
        <v>11149.4444444444</v>
      </c>
      <c r="Q10" s="21" t="n">
        <f aca="false">(Drivers!$E$83+(15-12)/12*(Drivers!$E$84-Drivers!$E$83))*Drivers!$E$82/12*(1+Drivers!$E$69)</f>
        <v>11945.8333333333</v>
      </c>
      <c r="R10" s="21" t="n">
        <f aca="false">(Drivers!$E$83+(16-12)/12*(Drivers!$E$84-Drivers!$E$83))*Drivers!$E$82/12*(1+Drivers!$E$69)</f>
        <v>12742.2222222222</v>
      </c>
      <c r="S10" s="21" t="n">
        <f aca="false">(Drivers!$E$83+(17-12)/12*(Drivers!$E$84-Drivers!$E$83))*Drivers!$E$82/12*(1+Drivers!$E$69)</f>
        <v>13538.6111111111</v>
      </c>
      <c r="T10" s="21" t="n">
        <f aca="false">(Drivers!$E$83+(18-12)/12*(Drivers!$E$84-Drivers!$E$83))*Drivers!$E$82/12*(1+Drivers!$E$69)</f>
        <v>14335</v>
      </c>
      <c r="U10" s="21" t="n">
        <f aca="false">(Drivers!$E$83+(19-12)/12*(Drivers!$E$84-Drivers!$E$83))*Drivers!$E$82/12*(1+Drivers!$E$69)</f>
        <v>15131.3888888889</v>
      </c>
      <c r="V10" s="21" t="n">
        <f aca="false">(Drivers!$E$83+(20-12)/12*(Drivers!$E$84-Drivers!$E$83))*Drivers!$E$82/12*(1+Drivers!$E$69)</f>
        <v>15927.7777777778</v>
      </c>
      <c r="W10" s="21" t="n">
        <f aca="false">(Drivers!$E$83+(21-12)/12*(Drivers!$E$84-Drivers!$E$83))*Drivers!$E$82/12*(1+Drivers!$E$69)</f>
        <v>16724.1666666667</v>
      </c>
      <c r="X10" s="21" t="n">
        <f aca="false">(Drivers!$E$83+(22-12)/12*(Drivers!$E$84-Drivers!$E$83))*Drivers!$E$82/12*(1+Drivers!$E$69)</f>
        <v>17520.5555555556</v>
      </c>
      <c r="Y10" s="21" t="n">
        <f aca="false">(Drivers!$E$83+(23-12)/12*(Drivers!$E$84-Drivers!$E$83))*Drivers!$E$82/12*(1+Drivers!$E$69)</f>
        <v>18316.9444444444</v>
      </c>
      <c r="Z10" s="21" t="n">
        <f aca="false">(Drivers!$E$83+(24-12)/12*(Drivers!$E$84-Drivers!$E$83))*Drivers!$E$82/12*(1+Drivers!$E$69)</f>
        <v>19113.3333333333</v>
      </c>
      <c r="AA10" s="21" t="n">
        <f aca="false">(Drivers!$E$84+(25-24)/12*(Drivers!$E$85-Drivers!$E$84))*Drivers!$E$82/12*(1+Drivers!$E$69)</f>
        <v>19909.7222222222</v>
      </c>
      <c r="AB10" s="21" t="n">
        <f aca="false">(Drivers!$E$84+(26-24)/12*(Drivers!$E$85-Drivers!$E$84))*Drivers!$E$82/12*(1+Drivers!$E$69)</f>
        <v>20706.1111111111</v>
      </c>
      <c r="AC10" s="21" t="n">
        <f aca="false">(Drivers!$E$84+(27-24)/12*(Drivers!$E$85-Drivers!$E$84))*Drivers!$E$82/12*(1+Drivers!$E$69)</f>
        <v>21502.5</v>
      </c>
      <c r="AD10" s="21" t="n">
        <f aca="false">(Drivers!$E$84+(28-24)/12*(Drivers!$E$85-Drivers!$E$84))*Drivers!$E$82/12*(1+Drivers!$E$69)</f>
        <v>22298.8888888889</v>
      </c>
      <c r="AE10" s="21" t="n">
        <f aca="false">(Drivers!$E$84+(29-24)/12*(Drivers!$E$85-Drivers!$E$84))*Drivers!$E$82/12*(1+Drivers!$E$69)</f>
        <v>23095.2777777778</v>
      </c>
      <c r="AF10" s="21" t="n">
        <f aca="false">(Drivers!$E$84+(30-24)/12*(Drivers!$E$85-Drivers!$E$84))*Drivers!$E$82/12*(1+Drivers!$E$69)</f>
        <v>23891.6666666667</v>
      </c>
      <c r="AG10" s="21" t="n">
        <f aca="false">(Drivers!$E$84+(31-24)/12*(Drivers!$E$85-Drivers!$E$84))*Drivers!$E$82/12*(1+Drivers!$E$69)</f>
        <v>24688.0555555556</v>
      </c>
      <c r="AH10" s="21" t="n">
        <f aca="false">(Drivers!$E$84+(32-24)/12*(Drivers!$E$85-Drivers!$E$84))*Drivers!$E$82/12*(1+Drivers!$E$69)</f>
        <v>25484.4444444444</v>
      </c>
      <c r="AI10" s="21" t="n">
        <f aca="false">(Drivers!$E$84+(33-24)/12*(Drivers!$E$85-Drivers!$E$84))*Drivers!$E$82/12*(1+Drivers!$E$69)</f>
        <v>26280.8333333333</v>
      </c>
      <c r="AJ10" s="21" t="n">
        <f aca="false">(Drivers!$E$84+(34-24)/12*(Drivers!$E$85-Drivers!$E$84))*Drivers!$E$82/12*(1+Drivers!$E$69)</f>
        <v>27077.2222222222</v>
      </c>
      <c r="AK10" s="21" t="n">
        <f aca="false">(Drivers!$E$84+(35-24)/12*(Drivers!$E$85-Drivers!$E$84))*Drivers!$E$82/12*(1+Drivers!$E$69)</f>
        <v>27873.6111111111</v>
      </c>
      <c r="AL10" s="21" t="n">
        <f aca="false">(Drivers!$E$84+(36-24)/12*(Drivers!$E$85-Drivers!$E$84))*Drivers!$E$82/12*(1+Drivers!$E$69)</f>
        <v>28670</v>
      </c>
    </row>
    <row r="11" customFormat="false" ht="15" hidden="false" customHeight="false" outlineLevel="0" collapsed="false">
      <c r="B11" s="8" t="s">
        <v>308</v>
      </c>
      <c r="C11" s="21" t="n">
        <f aca="false">(Drivers!$E$87)*Drivers!$E$86/12*(1+Drivers!$E$69)</f>
        <v>15250</v>
      </c>
      <c r="D11" s="21" t="n">
        <f aca="false">(Drivers!$E$87)*Drivers!$E$86/12*(1+Drivers!$E$69)</f>
        <v>15250</v>
      </c>
      <c r="E11" s="21" t="n">
        <f aca="false">(Drivers!$E$87)*Drivers!$E$86/12*(1+Drivers!$E$69)</f>
        <v>15250</v>
      </c>
      <c r="F11" s="21" t="n">
        <f aca="false">(Drivers!$E$87)*Drivers!$E$86/12*(1+Drivers!$E$69)</f>
        <v>15250</v>
      </c>
      <c r="G11" s="21" t="n">
        <f aca="false">(Drivers!$E$87)*Drivers!$E$86/12*(1+Drivers!$E$69)</f>
        <v>15250</v>
      </c>
      <c r="H11" s="21" t="n">
        <f aca="false">(Drivers!$E$87)*Drivers!$E$86/12*(1+Drivers!$E$69)</f>
        <v>15250</v>
      </c>
      <c r="I11" s="21" t="n">
        <f aca="false">(Drivers!$E$87)*Drivers!$E$86/12*(1+Drivers!$E$69)</f>
        <v>15250</v>
      </c>
      <c r="J11" s="21" t="n">
        <f aca="false">(Drivers!$E$87)*Drivers!$E$86/12*(1+Drivers!$E$69)</f>
        <v>15250</v>
      </c>
      <c r="K11" s="21" t="n">
        <f aca="false">(Drivers!$E$87)*Drivers!$E$86/12*(1+Drivers!$E$69)</f>
        <v>15250</v>
      </c>
      <c r="L11" s="21" t="n">
        <f aca="false">(Drivers!$E$87)*Drivers!$E$86/12*(1+Drivers!$E$69)</f>
        <v>15250</v>
      </c>
      <c r="M11" s="21" t="n">
        <f aca="false">(Drivers!$E$87)*Drivers!$E$86/12*(1+Drivers!$E$69)</f>
        <v>15250</v>
      </c>
      <c r="N11" s="21" t="n">
        <f aca="false">(Drivers!$E$87)*Drivers!$E$86/12*(1+Drivers!$E$69)</f>
        <v>15250</v>
      </c>
      <c r="O11" s="21" t="n">
        <f aca="false">(Drivers!$E$87+(13-12)/12*(Drivers!$E$88-Drivers!$E$87))*Drivers!$E$86/12*(1+Drivers!$E$69)</f>
        <v>15250</v>
      </c>
      <c r="P11" s="21" t="n">
        <f aca="false">(Drivers!$E$87+(14-12)/12*(Drivers!$E$88-Drivers!$E$87))*Drivers!$E$86/12*(1+Drivers!$E$69)</f>
        <v>15250</v>
      </c>
      <c r="Q11" s="21" t="n">
        <f aca="false">(Drivers!$E$87+(15-12)/12*(Drivers!$E$88-Drivers!$E$87))*Drivers!$E$86/12*(1+Drivers!$E$69)</f>
        <v>15250</v>
      </c>
      <c r="R11" s="21" t="n">
        <f aca="false">(Drivers!$E$87+(16-12)/12*(Drivers!$E$88-Drivers!$E$87))*Drivers!$E$86/12*(1+Drivers!$E$69)</f>
        <v>15250</v>
      </c>
      <c r="S11" s="21" t="n">
        <f aca="false">(Drivers!$E$87+(17-12)/12*(Drivers!$E$88-Drivers!$E$87))*Drivers!$E$86/12*(1+Drivers!$E$69)</f>
        <v>15250</v>
      </c>
      <c r="T11" s="21" t="n">
        <f aca="false">(Drivers!$E$87+(18-12)/12*(Drivers!$E$88-Drivers!$E$87))*Drivers!$E$86/12*(1+Drivers!$E$69)</f>
        <v>15250</v>
      </c>
      <c r="U11" s="21" t="n">
        <f aca="false">(Drivers!$E$87+(19-12)/12*(Drivers!$E$88-Drivers!$E$87))*Drivers!$E$86/12*(1+Drivers!$E$69)</f>
        <v>15250</v>
      </c>
      <c r="V11" s="21" t="n">
        <f aca="false">(Drivers!$E$87+(20-12)/12*(Drivers!$E$88-Drivers!$E$87))*Drivers!$E$86/12*(1+Drivers!$E$69)</f>
        <v>15250</v>
      </c>
      <c r="W11" s="21" t="n">
        <f aca="false">(Drivers!$E$87+(21-12)/12*(Drivers!$E$88-Drivers!$E$87))*Drivers!$E$86/12*(1+Drivers!$E$69)</f>
        <v>15250</v>
      </c>
      <c r="X11" s="21" t="n">
        <f aca="false">(Drivers!$E$87+(22-12)/12*(Drivers!$E$88-Drivers!$E$87))*Drivers!$E$86/12*(1+Drivers!$E$69)</f>
        <v>15250</v>
      </c>
      <c r="Y11" s="21" t="n">
        <f aca="false">(Drivers!$E$87+(23-12)/12*(Drivers!$E$88-Drivers!$E$87))*Drivers!$E$86/12*(1+Drivers!$E$69)</f>
        <v>15250</v>
      </c>
      <c r="Z11" s="21" t="n">
        <f aca="false">(Drivers!$E$87+(24-12)/12*(Drivers!$E$88-Drivers!$E$87))*Drivers!$E$86/12*(1+Drivers!$E$69)</f>
        <v>15250</v>
      </c>
      <c r="AA11" s="21" t="n">
        <f aca="false">(Drivers!$E$88+(25-24)/12*(Drivers!$E$89-Drivers!$E$88))*Drivers!$E$86/12*(1+Drivers!$E$69)</f>
        <v>15250</v>
      </c>
      <c r="AB11" s="21" t="n">
        <f aca="false">(Drivers!$E$88+(26-24)/12*(Drivers!$E$89-Drivers!$E$88))*Drivers!$E$86/12*(1+Drivers!$E$69)</f>
        <v>15250</v>
      </c>
      <c r="AC11" s="21" t="n">
        <f aca="false">(Drivers!$E$88+(27-24)/12*(Drivers!$E$89-Drivers!$E$88))*Drivers!$E$86/12*(1+Drivers!$E$69)</f>
        <v>15250</v>
      </c>
      <c r="AD11" s="21" t="n">
        <f aca="false">(Drivers!$E$88+(28-24)/12*(Drivers!$E$89-Drivers!$E$88))*Drivers!$E$86/12*(1+Drivers!$E$69)</f>
        <v>15250</v>
      </c>
      <c r="AE11" s="21" t="n">
        <f aca="false">(Drivers!$E$88+(29-24)/12*(Drivers!$E$89-Drivers!$E$88))*Drivers!$E$86/12*(1+Drivers!$E$69)</f>
        <v>15250</v>
      </c>
      <c r="AF11" s="21" t="n">
        <f aca="false">(Drivers!$E$88+(30-24)/12*(Drivers!$E$89-Drivers!$E$88))*Drivers!$E$86/12*(1+Drivers!$E$69)</f>
        <v>15250</v>
      </c>
      <c r="AG11" s="21" t="n">
        <f aca="false">(Drivers!$E$88+(31-24)/12*(Drivers!$E$89-Drivers!$E$88))*Drivers!$E$86/12*(1+Drivers!$E$69)</f>
        <v>15250</v>
      </c>
      <c r="AH11" s="21" t="n">
        <f aca="false">(Drivers!$E$88+(32-24)/12*(Drivers!$E$89-Drivers!$E$88))*Drivers!$E$86/12*(1+Drivers!$E$69)</f>
        <v>15250</v>
      </c>
      <c r="AI11" s="21" t="n">
        <f aca="false">(Drivers!$E$88+(33-24)/12*(Drivers!$E$89-Drivers!$E$88))*Drivers!$E$86/12*(1+Drivers!$E$69)</f>
        <v>15250</v>
      </c>
      <c r="AJ11" s="21" t="n">
        <f aca="false">(Drivers!$E$88+(34-24)/12*(Drivers!$E$89-Drivers!$E$88))*Drivers!$E$86/12*(1+Drivers!$E$69)</f>
        <v>15250</v>
      </c>
      <c r="AK11" s="21" t="n">
        <f aca="false">(Drivers!$E$88+(35-24)/12*(Drivers!$E$89-Drivers!$E$88))*Drivers!$E$86/12*(1+Drivers!$E$69)</f>
        <v>15250</v>
      </c>
      <c r="AL11" s="21" t="n">
        <f aca="false">(Drivers!$E$88+(36-24)/12*(Drivers!$E$89-Drivers!$E$88))*Drivers!$E$86/12*(1+Drivers!$E$69)</f>
        <v>15250</v>
      </c>
    </row>
    <row r="12" customFormat="false" ht="15" hidden="false" customHeight="false" outlineLevel="0" collapsed="false">
      <c r="B12" s="8" t="s">
        <v>309</v>
      </c>
      <c r="C12" s="21" t="n">
        <f aca="false">(Drivers!$E$91)*Drivers!$E$90/12*(1+Drivers!$E$69)</f>
        <v>9150</v>
      </c>
      <c r="D12" s="21" t="n">
        <f aca="false">(Drivers!$E$91)*Drivers!$E$90/12*(1+Drivers!$E$69)</f>
        <v>9150</v>
      </c>
      <c r="E12" s="21" t="n">
        <f aca="false">(Drivers!$E$91)*Drivers!$E$90/12*(1+Drivers!$E$69)</f>
        <v>9150</v>
      </c>
      <c r="F12" s="21" t="n">
        <f aca="false">(Drivers!$E$91)*Drivers!$E$90/12*(1+Drivers!$E$69)</f>
        <v>9150</v>
      </c>
      <c r="G12" s="21" t="n">
        <f aca="false">(Drivers!$E$91)*Drivers!$E$90/12*(1+Drivers!$E$69)</f>
        <v>9150</v>
      </c>
      <c r="H12" s="21" t="n">
        <f aca="false">(Drivers!$E$91)*Drivers!$E$90/12*(1+Drivers!$E$69)</f>
        <v>9150</v>
      </c>
      <c r="I12" s="21" t="n">
        <f aca="false">(Drivers!$E$91)*Drivers!$E$90/12*(1+Drivers!$E$69)</f>
        <v>9150</v>
      </c>
      <c r="J12" s="21" t="n">
        <f aca="false">(Drivers!$E$91)*Drivers!$E$90/12*(1+Drivers!$E$69)</f>
        <v>9150</v>
      </c>
      <c r="K12" s="21" t="n">
        <f aca="false">(Drivers!$E$91)*Drivers!$E$90/12*(1+Drivers!$E$69)</f>
        <v>9150</v>
      </c>
      <c r="L12" s="21" t="n">
        <f aca="false">(Drivers!$E$91)*Drivers!$E$90/12*(1+Drivers!$E$69)</f>
        <v>9150</v>
      </c>
      <c r="M12" s="21" t="n">
        <f aca="false">(Drivers!$E$91)*Drivers!$E$90/12*(1+Drivers!$E$69)</f>
        <v>9150</v>
      </c>
      <c r="N12" s="21" t="n">
        <f aca="false">(Drivers!$E$91)*Drivers!$E$90/12*(1+Drivers!$E$69)</f>
        <v>9150</v>
      </c>
      <c r="O12" s="21" t="n">
        <f aca="false">(Drivers!$E$91+(13-12)/12*(Drivers!$E$92-Drivers!$E$91))*Drivers!$E$90/12*(1+Drivers!$E$69)</f>
        <v>9912.5</v>
      </c>
      <c r="P12" s="21" t="n">
        <f aca="false">(Drivers!$E$91+(14-12)/12*(Drivers!$E$92-Drivers!$E$91))*Drivers!$E$90/12*(1+Drivers!$E$69)</f>
        <v>10675</v>
      </c>
      <c r="Q12" s="21" t="n">
        <f aca="false">(Drivers!$E$91+(15-12)/12*(Drivers!$E$92-Drivers!$E$91))*Drivers!$E$90/12*(1+Drivers!$E$69)</f>
        <v>11437.5</v>
      </c>
      <c r="R12" s="21" t="n">
        <f aca="false">(Drivers!$E$91+(16-12)/12*(Drivers!$E$92-Drivers!$E$91))*Drivers!$E$90/12*(1+Drivers!$E$69)</f>
        <v>12200</v>
      </c>
      <c r="S12" s="21" t="n">
        <f aca="false">(Drivers!$E$91+(17-12)/12*(Drivers!$E$92-Drivers!$E$91))*Drivers!$E$90/12*(1+Drivers!$E$69)</f>
        <v>12962.5</v>
      </c>
      <c r="T12" s="21" t="n">
        <f aca="false">(Drivers!$E$91+(18-12)/12*(Drivers!$E$92-Drivers!$E$91))*Drivers!$E$90/12*(1+Drivers!$E$69)</f>
        <v>13725</v>
      </c>
      <c r="U12" s="21" t="n">
        <f aca="false">(Drivers!$E$91+(19-12)/12*(Drivers!$E$92-Drivers!$E$91))*Drivers!$E$90/12*(1+Drivers!$E$69)</f>
        <v>14487.5</v>
      </c>
      <c r="V12" s="21" t="n">
        <f aca="false">(Drivers!$E$91+(20-12)/12*(Drivers!$E$92-Drivers!$E$91))*Drivers!$E$90/12*(1+Drivers!$E$69)</f>
        <v>15250</v>
      </c>
      <c r="W12" s="21" t="n">
        <f aca="false">(Drivers!$E$91+(21-12)/12*(Drivers!$E$92-Drivers!$E$91))*Drivers!$E$90/12*(1+Drivers!$E$69)</f>
        <v>16012.5</v>
      </c>
      <c r="X12" s="21" t="n">
        <f aca="false">(Drivers!$E$91+(22-12)/12*(Drivers!$E$92-Drivers!$E$91))*Drivers!$E$90/12*(1+Drivers!$E$69)</f>
        <v>16775</v>
      </c>
      <c r="Y12" s="21" t="n">
        <f aca="false">(Drivers!$E$91+(23-12)/12*(Drivers!$E$92-Drivers!$E$91))*Drivers!$E$90/12*(1+Drivers!$E$69)</f>
        <v>17537.5</v>
      </c>
      <c r="Z12" s="21" t="n">
        <f aca="false">(Drivers!$E$91+(24-12)/12*(Drivers!$E$92-Drivers!$E$91))*Drivers!$E$90/12*(1+Drivers!$E$69)</f>
        <v>18300</v>
      </c>
      <c r="AA12" s="21" t="n">
        <f aca="false">(Drivers!$E$92+(25-24)/12*(Drivers!$E$93-Drivers!$E$92))*Drivers!$E$90/12*(1+Drivers!$E$69)</f>
        <v>19062.5</v>
      </c>
      <c r="AB12" s="21" t="n">
        <f aca="false">(Drivers!$E$92+(26-24)/12*(Drivers!$E$93-Drivers!$E$92))*Drivers!$E$90/12*(1+Drivers!$E$69)</f>
        <v>19825</v>
      </c>
      <c r="AC12" s="21" t="n">
        <f aca="false">(Drivers!$E$92+(27-24)/12*(Drivers!$E$93-Drivers!$E$92))*Drivers!$E$90/12*(1+Drivers!$E$69)</f>
        <v>20587.5</v>
      </c>
      <c r="AD12" s="21" t="n">
        <f aca="false">(Drivers!$E$92+(28-24)/12*(Drivers!$E$93-Drivers!$E$92))*Drivers!$E$90/12*(1+Drivers!$E$69)</f>
        <v>21350</v>
      </c>
      <c r="AE12" s="21" t="n">
        <f aca="false">(Drivers!$E$92+(29-24)/12*(Drivers!$E$93-Drivers!$E$92))*Drivers!$E$90/12*(1+Drivers!$E$69)</f>
        <v>22112.5</v>
      </c>
      <c r="AF12" s="21" t="n">
        <f aca="false">(Drivers!$E$92+(30-24)/12*(Drivers!$E$93-Drivers!$E$92))*Drivers!$E$90/12*(1+Drivers!$E$69)</f>
        <v>22875</v>
      </c>
      <c r="AG12" s="21" t="n">
        <f aca="false">(Drivers!$E$92+(31-24)/12*(Drivers!$E$93-Drivers!$E$92))*Drivers!$E$90/12*(1+Drivers!$E$69)</f>
        <v>23637.5</v>
      </c>
      <c r="AH12" s="21" t="n">
        <f aca="false">(Drivers!$E$92+(32-24)/12*(Drivers!$E$93-Drivers!$E$92))*Drivers!$E$90/12*(1+Drivers!$E$69)</f>
        <v>24400</v>
      </c>
      <c r="AI12" s="21" t="n">
        <f aca="false">(Drivers!$E$92+(33-24)/12*(Drivers!$E$93-Drivers!$E$92))*Drivers!$E$90/12*(1+Drivers!$E$69)</f>
        <v>25162.5</v>
      </c>
      <c r="AJ12" s="21" t="n">
        <f aca="false">(Drivers!$E$92+(34-24)/12*(Drivers!$E$93-Drivers!$E$92))*Drivers!$E$90/12*(1+Drivers!$E$69)</f>
        <v>25925</v>
      </c>
      <c r="AK12" s="21" t="n">
        <f aca="false">(Drivers!$E$92+(35-24)/12*(Drivers!$E$93-Drivers!$E$92))*Drivers!$E$90/12*(1+Drivers!$E$69)</f>
        <v>26687.5</v>
      </c>
      <c r="AL12" s="21" t="n">
        <f aca="false">(Drivers!$E$92+(36-24)/12*(Drivers!$E$93-Drivers!$E$92))*Drivers!$E$90/12*(1+Drivers!$E$69)</f>
        <v>27450</v>
      </c>
    </row>
    <row r="13" customFormat="false" ht="15" hidden="false" customHeight="false" outlineLevel="0" collapsed="false">
      <c r="B13" s="8" t="s">
        <v>310</v>
      </c>
      <c r="C13" s="21" t="n">
        <f aca="false">(Drivers!$E$95)*Drivers!$E$94/12*(1+Drivers!$E$69)</f>
        <v>12200</v>
      </c>
      <c r="D13" s="21" t="n">
        <f aca="false">(Drivers!$E$95)*Drivers!$E$94/12*(1+Drivers!$E$69)</f>
        <v>12200</v>
      </c>
      <c r="E13" s="21" t="n">
        <f aca="false">(Drivers!$E$95)*Drivers!$E$94/12*(1+Drivers!$E$69)</f>
        <v>12200</v>
      </c>
      <c r="F13" s="21" t="n">
        <f aca="false">(Drivers!$E$95)*Drivers!$E$94/12*(1+Drivers!$E$69)</f>
        <v>12200</v>
      </c>
      <c r="G13" s="21" t="n">
        <f aca="false">(Drivers!$E$95)*Drivers!$E$94/12*(1+Drivers!$E$69)</f>
        <v>12200</v>
      </c>
      <c r="H13" s="21" t="n">
        <f aca="false">(Drivers!$E$95)*Drivers!$E$94/12*(1+Drivers!$E$69)</f>
        <v>12200</v>
      </c>
      <c r="I13" s="21" t="n">
        <f aca="false">(Drivers!$E$95)*Drivers!$E$94/12*(1+Drivers!$E$69)</f>
        <v>12200</v>
      </c>
      <c r="J13" s="21" t="n">
        <f aca="false">(Drivers!$E$95)*Drivers!$E$94/12*(1+Drivers!$E$69)</f>
        <v>12200</v>
      </c>
      <c r="K13" s="21" t="n">
        <f aca="false">(Drivers!$E$95)*Drivers!$E$94/12*(1+Drivers!$E$69)</f>
        <v>12200</v>
      </c>
      <c r="L13" s="21" t="n">
        <f aca="false">(Drivers!$E$95)*Drivers!$E$94/12*(1+Drivers!$E$69)</f>
        <v>12200</v>
      </c>
      <c r="M13" s="21" t="n">
        <f aca="false">(Drivers!$E$95)*Drivers!$E$94/12*(1+Drivers!$E$69)</f>
        <v>12200</v>
      </c>
      <c r="N13" s="21" t="n">
        <f aca="false">(Drivers!$E$95)*Drivers!$E$94/12*(1+Drivers!$E$69)</f>
        <v>12200</v>
      </c>
      <c r="O13" s="21" t="n">
        <f aca="false">(Drivers!$E$95+(13-12)/12*(Drivers!$E$96-Drivers!$E$95))*Drivers!$E$94/12*(1+Drivers!$E$69)</f>
        <v>13216.6666666667</v>
      </c>
      <c r="P13" s="21" t="n">
        <f aca="false">(Drivers!$E$95+(14-12)/12*(Drivers!$E$96-Drivers!$E$95))*Drivers!$E$94/12*(1+Drivers!$E$69)</f>
        <v>14233.3333333333</v>
      </c>
      <c r="Q13" s="21" t="n">
        <f aca="false">(Drivers!$E$95+(15-12)/12*(Drivers!$E$96-Drivers!$E$95))*Drivers!$E$94/12*(1+Drivers!$E$69)</f>
        <v>15250</v>
      </c>
      <c r="R13" s="21" t="n">
        <f aca="false">(Drivers!$E$95+(16-12)/12*(Drivers!$E$96-Drivers!$E$95))*Drivers!$E$94/12*(1+Drivers!$E$69)</f>
        <v>16266.6666666667</v>
      </c>
      <c r="S13" s="21" t="n">
        <f aca="false">(Drivers!$E$95+(17-12)/12*(Drivers!$E$96-Drivers!$E$95))*Drivers!$E$94/12*(1+Drivers!$E$69)</f>
        <v>17283.3333333333</v>
      </c>
      <c r="T13" s="21" t="n">
        <f aca="false">(Drivers!$E$95+(18-12)/12*(Drivers!$E$96-Drivers!$E$95))*Drivers!$E$94/12*(1+Drivers!$E$69)</f>
        <v>18300</v>
      </c>
      <c r="U13" s="21" t="n">
        <f aca="false">(Drivers!$E$95+(19-12)/12*(Drivers!$E$96-Drivers!$E$95))*Drivers!$E$94/12*(1+Drivers!$E$69)</f>
        <v>19316.6666666667</v>
      </c>
      <c r="V13" s="21" t="n">
        <f aca="false">(Drivers!$E$95+(20-12)/12*(Drivers!$E$96-Drivers!$E$95))*Drivers!$E$94/12*(1+Drivers!$E$69)</f>
        <v>20333.3333333333</v>
      </c>
      <c r="W13" s="21" t="n">
        <f aca="false">(Drivers!$E$95+(21-12)/12*(Drivers!$E$96-Drivers!$E$95))*Drivers!$E$94/12*(1+Drivers!$E$69)</f>
        <v>21350</v>
      </c>
      <c r="X13" s="21" t="n">
        <f aca="false">(Drivers!$E$95+(22-12)/12*(Drivers!$E$96-Drivers!$E$95))*Drivers!$E$94/12*(1+Drivers!$E$69)</f>
        <v>22366.6666666667</v>
      </c>
      <c r="Y13" s="21" t="n">
        <f aca="false">(Drivers!$E$95+(23-12)/12*(Drivers!$E$96-Drivers!$E$95))*Drivers!$E$94/12*(1+Drivers!$E$69)</f>
        <v>23383.3333333333</v>
      </c>
      <c r="Z13" s="21" t="n">
        <f aca="false">(Drivers!$E$95+(24-12)/12*(Drivers!$E$96-Drivers!$E$95))*Drivers!$E$94/12*(1+Drivers!$E$69)</f>
        <v>24400</v>
      </c>
      <c r="AA13" s="21" t="n">
        <f aca="false">(Drivers!$E$96+(25-24)/12*(Drivers!$E$97-Drivers!$E$96))*Drivers!$E$94/12*(1+Drivers!$E$69)</f>
        <v>25416.6666666667</v>
      </c>
      <c r="AB13" s="21" t="n">
        <f aca="false">(Drivers!$E$96+(26-24)/12*(Drivers!$E$97-Drivers!$E$96))*Drivers!$E$94/12*(1+Drivers!$E$69)</f>
        <v>26433.3333333333</v>
      </c>
      <c r="AC13" s="21" t="n">
        <f aca="false">(Drivers!$E$96+(27-24)/12*(Drivers!$E$97-Drivers!$E$96))*Drivers!$E$94/12*(1+Drivers!$E$69)</f>
        <v>27450</v>
      </c>
      <c r="AD13" s="21" t="n">
        <f aca="false">(Drivers!$E$96+(28-24)/12*(Drivers!$E$97-Drivers!$E$96))*Drivers!$E$94/12*(1+Drivers!$E$69)</f>
        <v>28466.6666666667</v>
      </c>
      <c r="AE13" s="21" t="n">
        <f aca="false">(Drivers!$E$96+(29-24)/12*(Drivers!$E$97-Drivers!$E$96))*Drivers!$E$94/12*(1+Drivers!$E$69)</f>
        <v>29483.3333333333</v>
      </c>
      <c r="AF13" s="21" t="n">
        <f aca="false">(Drivers!$E$96+(30-24)/12*(Drivers!$E$97-Drivers!$E$96))*Drivers!$E$94/12*(1+Drivers!$E$69)</f>
        <v>30500</v>
      </c>
      <c r="AG13" s="21" t="n">
        <f aca="false">(Drivers!$E$96+(31-24)/12*(Drivers!$E$97-Drivers!$E$96))*Drivers!$E$94/12*(1+Drivers!$E$69)</f>
        <v>31516.6666666667</v>
      </c>
      <c r="AH13" s="21" t="n">
        <f aca="false">(Drivers!$E$96+(32-24)/12*(Drivers!$E$97-Drivers!$E$96))*Drivers!$E$94/12*(1+Drivers!$E$69)</f>
        <v>32533.3333333333</v>
      </c>
      <c r="AI13" s="21" t="n">
        <f aca="false">(Drivers!$E$96+(33-24)/12*(Drivers!$E$97-Drivers!$E$96))*Drivers!$E$94/12*(1+Drivers!$E$69)</f>
        <v>33550</v>
      </c>
      <c r="AJ13" s="21" t="n">
        <f aca="false">(Drivers!$E$96+(34-24)/12*(Drivers!$E$97-Drivers!$E$96))*Drivers!$E$94/12*(1+Drivers!$E$69)</f>
        <v>34566.6666666667</v>
      </c>
      <c r="AK13" s="21" t="n">
        <f aca="false">(Drivers!$E$96+(35-24)/12*(Drivers!$E$97-Drivers!$E$96))*Drivers!$E$94/12*(1+Drivers!$E$69)</f>
        <v>35583.3333333333</v>
      </c>
      <c r="AL13" s="21" t="n">
        <f aca="false">(Drivers!$E$96+(36-24)/12*(Drivers!$E$97-Drivers!$E$96))*Drivers!$E$94/12*(1+Drivers!$E$69)</f>
        <v>36600</v>
      </c>
    </row>
    <row r="14" customFormat="false" ht="15" hidden="false" customHeight="false" outlineLevel="0" collapsed="false">
      <c r="B14" s="8" t="s">
        <v>311</v>
      </c>
      <c r="C14" s="21" t="n">
        <f aca="false">(Drivers!$E$99)*Drivers!$E$98/12*(1+Drivers!$E$69)</f>
        <v>7625</v>
      </c>
      <c r="D14" s="21" t="n">
        <f aca="false">(Drivers!$E$99)*Drivers!$E$98/12*(1+Drivers!$E$69)</f>
        <v>7625</v>
      </c>
      <c r="E14" s="21" t="n">
        <f aca="false">(Drivers!$E$99)*Drivers!$E$98/12*(1+Drivers!$E$69)</f>
        <v>7625</v>
      </c>
      <c r="F14" s="21" t="n">
        <f aca="false">(Drivers!$E$99)*Drivers!$E$98/12*(1+Drivers!$E$69)</f>
        <v>7625</v>
      </c>
      <c r="G14" s="21" t="n">
        <f aca="false">(Drivers!$E$99)*Drivers!$E$98/12*(1+Drivers!$E$69)</f>
        <v>7625</v>
      </c>
      <c r="H14" s="21" t="n">
        <f aca="false">(Drivers!$E$99)*Drivers!$E$98/12*(1+Drivers!$E$69)</f>
        <v>7625</v>
      </c>
      <c r="I14" s="21" t="n">
        <f aca="false">(Drivers!$E$99)*Drivers!$E$98/12*(1+Drivers!$E$69)</f>
        <v>7625</v>
      </c>
      <c r="J14" s="21" t="n">
        <f aca="false">(Drivers!$E$99)*Drivers!$E$98/12*(1+Drivers!$E$69)</f>
        <v>7625</v>
      </c>
      <c r="K14" s="21" t="n">
        <f aca="false">(Drivers!$E$99)*Drivers!$E$98/12*(1+Drivers!$E$69)</f>
        <v>7625</v>
      </c>
      <c r="L14" s="21" t="n">
        <f aca="false">(Drivers!$E$99)*Drivers!$E$98/12*(1+Drivers!$E$69)</f>
        <v>7625</v>
      </c>
      <c r="M14" s="21" t="n">
        <f aca="false">(Drivers!$E$99)*Drivers!$E$98/12*(1+Drivers!$E$69)</f>
        <v>7625</v>
      </c>
      <c r="N14" s="21" t="n">
        <f aca="false">(Drivers!$E$99)*Drivers!$E$98/12*(1+Drivers!$E$69)</f>
        <v>7625</v>
      </c>
      <c r="O14" s="21" t="n">
        <f aca="false">(Drivers!$E$99+(13-12)/12*(Drivers!$E$100-Drivers!$E$99))*Drivers!$E$98/12*(1+Drivers!$E$69)</f>
        <v>7625</v>
      </c>
      <c r="P14" s="21" t="n">
        <f aca="false">(Drivers!$E$99+(14-12)/12*(Drivers!$E$100-Drivers!$E$99))*Drivers!$E$98/12*(1+Drivers!$E$69)</f>
        <v>7625</v>
      </c>
      <c r="Q14" s="21" t="n">
        <f aca="false">(Drivers!$E$99+(15-12)/12*(Drivers!$E$100-Drivers!$E$99))*Drivers!$E$98/12*(1+Drivers!$E$69)</f>
        <v>7625</v>
      </c>
      <c r="R14" s="21" t="n">
        <f aca="false">(Drivers!$E$99+(16-12)/12*(Drivers!$E$100-Drivers!$E$99))*Drivers!$E$98/12*(1+Drivers!$E$69)</f>
        <v>7625</v>
      </c>
      <c r="S14" s="21" t="n">
        <f aca="false">(Drivers!$E$99+(17-12)/12*(Drivers!$E$100-Drivers!$E$99))*Drivers!$E$98/12*(1+Drivers!$E$69)</f>
        <v>7625</v>
      </c>
      <c r="T14" s="21" t="n">
        <f aca="false">(Drivers!$E$99+(18-12)/12*(Drivers!$E$100-Drivers!$E$99))*Drivers!$E$98/12*(1+Drivers!$E$69)</f>
        <v>7625</v>
      </c>
      <c r="U14" s="21" t="n">
        <f aca="false">(Drivers!$E$99+(19-12)/12*(Drivers!$E$100-Drivers!$E$99))*Drivers!$E$98/12*(1+Drivers!$E$69)</f>
        <v>7625</v>
      </c>
      <c r="V14" s="21" t="n">
        <f aca="false">(Drivers!$E$99+(20-12)/12*(Drivers!$E$100-Drivers!$E$99))*Drivers!$E$98/12*(1+Drivers!$E$69)</f>
        <v>7625</v>
      </c>
      <c r="W14" s="21" t="n">
        <f aca="false">(Drivers!$E$99+(21-12)/12*(Drivers!$E$100-Drivers!$E$99))*Drivers!$E$98/12*(1+Drivers!$E$69)</f>
        <v>7625</v>
      </c>
      <c r="X14" s="21" t="n">
        <f aca="false">(Drivers!$E$99+(22-12)/12*(Drivers!$E$100-Drivers!$E$99))*Drivers!$E$98/12*(1+Drivers!$E$69)</f>
        <v>7625</v>
      </c>
      <c r="Y14" s="21" t="n">
        <f aca="false">(Drivers!$E$99+(23-12)/12*(Drivers!$E$100-Drivers!$E$99))*Drivers!$E$98/12*(1+Drivers!$E$69)</f>
        <v>7625</v>
      </c>
      <c r="Z14" s="21" t="n">
        <f aca="false">(Drivers!$E$99+(24-12)/12*(Drivers!$E$100-Drivers!$E$99))*Drivers!$E$98/12*(1+Drivers!$E$69)</f>
        <v>7625</v>
      </c>
      <c r="AA14" s="21" t="n">
        <f aca="false">(Drivers!$E$100+(25-24)/12*(Drivers!$E$101-Drivers!$E$100))*Drivers!$E$98/12*(1+Drivers!$E$69)</f>
        <v>8260.41666666667</v>
      </c>
      <c r="AB14" s="21" t="n">
        <f aca="false">(Drivers!$E$100+(26-24)/12*(Drivers!$E$101-Drivers!$E$100))*Drivers!$E$98/12*(1+Drivers!$E$69)</f>
        <v>8895.83333333333</v>
      </c>
      <c r="AC14" s="21" t="n">
        <f aca="false">(Drivers!$E$100+(27-24)/12*(Drivers!$E$101-Drivers!$E$100))*Drivers!$E$98/12*(1+Drivers!$E$69)</f>
        <v>9531.25</v>
      </c>
      <c r="AD14" s="21" t="n">
        <f aca="false">(Drivers!$E$100+(28-24)/12*(Drivers!$E$101-Drivers!$E$100))*Drivers!$E$98/12*(1+Drivers!$E$69)</f>
        <v>10166.6666666667</v>
      </c>
      <c r="AE14" s="21" t="n">
        <f aca="false">(Drivers!$E$100+(29-24)/12*(Drivers!$E$101-Drivers!$E$100))*Drivers!$E$98/12*(1+Drivers!$E$69)</f>
        <v>10802.0833333333</v>
      </c>
      <c r="AF14" s="21" t="n">
        <f aca="false">(Drivers!$E$100+(30-24)/12*(Drivers!$E$101-Drivers!$E$100))*Drivers!$E$98/12*(1+Drivers!$E$69)</f>
        <v>11437.5</v>
      </c>
      <c r="AG14" s="21" t="n">
        <f aca="false">(Drivers!$E$100+(31-24)/12*(Drivers!$E$101-Drivers!$E$100))*Drivers!$E$98/12*(1+Drivers!$E$69)</f>
        <v>12072.9166666667</v>
      </c>
      <c r="AH14" s="21" t="n">
        <f aca="false">(Drivers!$E$100+(32-24)/12*(Drivers!$E$101-Drivers!$E$100))*Drivers!$E$98/12*(1+Drivers!$E$69)</f>
        <v>12708.3333333333</v>
      </c>
      <c r="AI14" s="21" t="n">
        <f aca="false">(Drivers!$E$100+(33-24)/12*(Drivers!$E$101-Drivers!$E$100))*Drivers!$E$98/12*(1+Drivers!$E$69)</f>
        <v>13343.75</v>
      </c>
      <c r="AJ14" s="21" t="n">
        <f aca="false">(Drivers!$E$100+(34-24)/12*(Drivers!$E$101-Drivers!$E$100))*Drivers!$E$98/12*(1+Drivers!$E$69)</f>
        <v>13979.1666666667</v>
      </c>
      <c r="AK14" s="21" t="n">
        <f aca="false">(Drivers!$E$100+(35-24)/12*(Drivers!$E$101-Drivers!$E$100))*Drivers!$E$98/12*(1+Drivers!$E$69)</f>
        <v>14614.5833333333</v>
      </c>
      <c r="AL14" s="21" t="n">
        <f aca="false">(Drivers!$E$100+(36-24)/12*(Drivers!$E$101-Drivers!$E$100))*Drivers!$E$98/12*(1+Drivers!$E$69)</f>
        <v>15250</v>
      </c>
    </row>
    <row r="16" customFormat="false" ht="15" hidden="false" customHeight="false" outlineLevel="0" collapsed="false">
      <c r="B16" s="10" t="s">
        <v>312</v>
      </c>
      <c r="C16" s="30" t="n">
        <f aca="false">SUM(C7:C14)</f>
        <v>121898.333333333</v>
      </c>
      <c r="D16" s="30" t="n">
        <f aca="false">SUM(D7:D14)</f>
        <v>121898.333333333</v>
      </c>
      <c r="E16" s="30" t="n">
        <f aca="false">SUM(E7:E14)</f>
        <v>121898.333333333</v>
      </c>
      <c r="F16" s="30" t="n">
        <f aca="false">SUM(F7:F14)</f>
        <v>121898.333333333</v>
      </c>
      <c r="G16" s="30" t="n">
        <f aca="false">SUM(G7:G14)</f>
        <v>121898.333333333</v>
      </c>
      <c r="H16" s="30" t="n">
        <f aca="false">SUM(H7:H14)</f>
        <v>121898.333333333</v>
      </c>
      <c r="I16" s="30" t="n">
        <f aca="false">SUM(I7:I14)</f>
        <v>121898.333333333</v>
      </c>
      <c r="J16" s="30" t="n">
        <f aca="false">SUM(J7:J14)</f>
        <v>121898.333333333</v>
      </c>
      <c r="K16" s="30" t="n">
        <f aca="false">SUM(K7:K14)</f>
        <v>121898.333333333</v>
      </c>
      <c r="L16" s="30" t="n">
        <f aca="false">SUM(L7:L14)</f>
        <v>121898.333333333</v>
      </c>
      <c r="M16" s="30" t="n">
        <f aca="false">SUM(M7:M14)</f>
        <v>121898.333333333</v>
      </c>
      <c r="N16" s="30" t="n">
        <f aca="false">SUM(N7:N14)</f>
        <v>121898.333333333</v>
      </c>
      <c r="O16" s="30" t="n">
        <f aca="false">SUM(O7:O14)</f>
        <v>125744.722222222</v>
      </c>
      <c r="P16" s="30" t="n">
        <f aca="false">SUM(P7:P14)</f>
        <v>129591.111111111</v>
      </c>
      <c r="Q16" s="30" t="n">
        <f aca="false">SUM(Q7:Q14)</f>
        <v>133437.5</v>
      </c>
      <c r="R16" s="30" t="n">
        <f aca="false">SUM(R7:R14)</f>
        <v>137283.888888889</v>
      </c>
      <c r="S16" s="30" t="n">
        <f aca="false">SUM(S7:S14)</f>
        <v>141130.277777778</v>
      </c>
      <c r="T16" s="30" t="n">
        <f aca="false">SUM(T7:T14)</f>
        <v>144976.666666667</v>
      </c>
      <c r="U16" s="30" t="n">
        <f aca="false">SUM(U7:U14)</f>
        <v>148823.055555556</v>
      </c>
      <c r="V16" s="30" t="n">
        <f aca="false">SUM(V7:V14)</f>
        <v>152669.444444444</v>
      </c>
      <c r="W16" s="30" t="n">
        <f aca="false">SUM(W7:W14)</f>
        <v>156515.833333333</v>
      </c>
      <c r="X16" s="30" t="n">
        <f aca="false">SUM(X7:X14)</f>
        <v>160362.222222222</v>
      </c>
      <c r="Y16" s="30" t="n">
        <f aca="false">SUM(Y7:Y14)</f>
        <v>164208.611111111</v>
      </c>
      <c r="Z16" s="30" t="n">
        <f aca="false">SUM(Z7:Z14)</f>
        <v>168055</v>
      </c>
      <c r="AA16" s="30" t="n">
        <f aca="false">SUM(AA7:AA14)</f>
        <v>172536.805555556</v>
      </c>
      <c r="AB16" s="30" t="n">
        <f aca="false">SUM(AB7:AB14)</f>
        <v>177018.611111111</v>
      </c>
      <c r="AC16" s="30" t="n">
        <f aca="false">SUM(AC7:AC14)</f>
        <v>181500.416666667</v>
      </c>
      <c r="AD16" s="30" t="n">
        <f aca="false">SUM(AD7:AD14)</f>
        <v>185982.222222222</v>
      </c>
      <c r="AE16" s="30" t="n">
        <f aca="false">SUM(AE7:AE14)</f>
        <v>190464.027777778</v>
      </c>
      <c r="AF16" s="30" t="n">
        <f aca="false">SUM(AF7:AF14)</f>
        <v>194945.833333333</v>
      </c>
      <c r="AG16" s="30" t="n">
        <f aca="false">SUM(AG7:AG14)</f>
        <v>199427.638888889</v>
      </c>
      <c r="AH16" s="30" t="n">
        <f aca="false">SUM(AH7:AH14)</f>
        <v>203909.444444444</v>
      </c>
      <c r="AI16" s="30" t="n">
        <f aca="false">SUM(AI7:AI14)</f>
        <v>208391.25</v>
      </c>
      <c r="AJ16" s="30" t="n">
        <f aca="false">SUM(AJ7:AJ14)</f>
        <v>212873.055555556</v>
      </c>
      <c r="AK16" s="30" t="n">
        <f aca="false">SUM(AK7:AK14)</f>
        <v>217354.861111111</v>
      </c>
      <c r="AL16" s="30" t="n">
        <f aca="false">SUM(AL7:AL14)</f>
        <v>221836.666666667</v>
      </c>
    </row>
    <row r="18" customFormat="false" ht="15" hidden="false" customHeight="false" outlineLevel="0" collapsed="false">
      <c r="B18" s="8" t="s">
        <v>313</v>
      </c>
      <c r="C18" s="26" t="n">
        <f aca="false">Drivers!$E$71+Drivers!$E$75+Drivers!$E$79+Drivers!$E$83+Drivers!$E$87+Drivers!$E$91+Drivers!$E$95+Drivers!$E$99</f>
        <v>10</v>
      </c>
      <c r="D18" s="26" t="n">
        <f aca="false">Drivers!$E$71+Drivers!$E$75+Drivers!$E$79+Drivers!$E$83+Drivers!$E$87+Drivers!$E$91+Drivers!$E$95+Drivers!$E$99</f>
        <v>10</v>
      </c>
      <c r="E18" s="26" t="n">
        <f aca="false">Drivers!$E$71+Drivers!$E$75+Drivers!$E$79+Drivers!$E$83+Drivers!$E$87+Drivers!$E$91+Drivers!$E$95+Drivers!$E$99</f>
        <v>10</v>
      </c>
      <c r="F18" s="26" t="n">
        <f aca="false">Drivers!$E$71+Drivers!$E$75+Drivers!$E$79+Drivers!$E$83+Drivers!$E$87+Drivers!$E$91+Drivers!$E$95+Drivers!$E$99</f>
        <v>10</v>
      </c>
      <c r="G18" s="26" t="n">
        <f aca="false">Drivers!$E$71+Drivers!$E$75+Drivers!$E$79+Drivers!$E$83+Drivers!$E$87+Drivers!$E$91+Drivers!$E$95+Drivers!$E$99</f>
        <v>10</v>
      </c>
      <c r="H18" s="26" t="n">
        <f aca="false">Drivers!$E$71+Drivers!$E$75+Drivers!$E$79+Drivers!$E$83+Drivers!$E$87+Drivers!$E$91+Drivers!$E$95+Drivers!$E$99</f>
        <v>10</v>
      </c>
      <c r="I18" s="26" t="n">
        <f aca="false">Drivers!$E$71+Drivers!$E$75+Drivers!$E$79+Drivers!$E$83+Drivers!$E$87+Drivers!$E$91+Drivers!$E$95+Drivers!$E$99</f>
        <v>10</v>
      </c>
      <c r="J18" s="26" t="n">
        <f aca="false">Drivers!$E$71+Drivers!$E$75+Drivers!$E$79+Drivers!$E$83+Drivers!$E$87+Drivers!$E$91+Drivers!$E$95+Drivers!$E$99</f>
        <v>10</v>
      </c>
      <c r="K18" s="26" t="n">
        <f aca="false">Drivers!$E$71+Drivers!$E$75+Drivers!$E$79+Drivers!$E$83+Drivers!$E$87+Drivers!$E$91+Drivers!$E$95+Drivers!$E$99</f>
        <v>10</v>
      </c>
      <c r="L18" s="26" t="n">
        <f aca="false">Drivers!$E$71+Drivers!$E$75+Drivers!$E$79+Drivers!$E$83+Drivers!$E$87+Drivers!$E$91+Drivers!$E$95+Drivers!$E$99</f>
        <v>10</v>
      </c>
      <c r="M18" s="26" t="n">
        <f aca="false">Drivers!$E$71+Drivers!$E$75+Drivers!$E$79+Drivers!$E$83+Drivers!$E$87+Drivers!$E$91+Drivers!$E$95+Drivers!$E$99</f>
        <v>10</v>
      </c>
      <c r="N18" s="26" t="n">
        <f aca="false">Drivers!$E$71+Drivers!$E$75+Drivers!$E$79+Drivers!$E$83+Drivers!$E$87+Drivers!$E$91+Drivers!$E$95+Drivers!$E$99</f>
        <v>10</v>
      </c>
      <c r="O18" s="26" t="n">
        <f aca="false">(Drivers!$E$71+(13-12)/12*(Drivers!$E$72-Drivers!$E$71))+(Drivers!$E$75+(13-12)/12*(Drivers!$E$76-Drivers!$E$75))+(Drivers!$E$79+(13-12)/12*(Drivers!$E$80-Drivers!$E$79))+(Drivers!$E$83+(13-12)/12*(Drivers!$E$84-Drivers!$E$83))+(Drivers!$E$87+(13-12)/12*(Drivers!$E$88-Drivers!$E$87))+(Drivers!$E$91+(13-12)/12*(Drivers!$E$92-Drivers!$E$91))+(Drivers!$E$95+(13-12)/12*(Drivers!$E$96-Drivers!$E$95))+(Drivers!$E$99+(13-12)/12*(Drivers!$E$100-Drivers!$E$99))</f>
        <v>10.5</v>
      </c>
      <c r="P18" s="26" t="n">
        <f aca="false">(Drivers!$E$71+(14-12)/12*(Drivers!$E$72-Drivers!$E$71))+(Drivers!$E$75+(14-12)/12*(Drivers!$E$76-Drivers!$E$75))+(Drivers!$E$79+(14-12)/12*(Drivers!$E$80-Drivers!$E$79))+(Drivers!$E$83+(14-12)/12*(Drivers!$E$84-Drivers!$E$83))+(Drivers!$E$87+(14-12)/12*(Drivers!$E$88-Drivers!$E$87))+(Drivers!$E$91+(14-12)/12*(Drivers!$E$92-Drivers!$E$91))+(Drivers!$E$95+(14-12)/12*(Drivers!$E$96-Drivers!$E$95))+(Drivers!$E$99+(14-12)/12*(Drivers!$E$100-Drivers!$E$99))</f>
        <v>11</v>
      </c>
      <c r="Q18" s="26" t="n">
        <f aca="false">(Drivers!$E$71+(15-12)/12*(Drivers!$E$72-Drivers!$E$71))+(Drivers!$E$75+(15-12)/12*(Drivers!$E$76-Drivers!$E$75))+(Drivers!$E$79+(15-12)/12*(Drivers!$E$80-Drivers!$E$79))+(Drivers!$E$83+(15-12)/12*(Drivers!$E$84-Drivers!$E$83))+(Drivers!$E$87+(15-12)/12*(Drivers!$E$88-Drivers!$E$87))+(Drivers!$E$91+(15-12)/12*(Drivers!$E$92-Drivers!$E$91))+(Drivers!$E$95+(15-12)/12*(Drivers!$E$96-Drivers!$E$95))+(Drivers!$E$99+(15-12)/12*(Drivers!$E$100-Drivers!$E$99))</f>
        <v>11.5</v>
      </c>
      <c r="R18" s="26" t="n">
        <f aca="false">(Drivers!$E$71+(16-12)/12*(Drivers!$E$72-Drivers!$E$71))+(Drivers!$E$75+(16-12)/12*(Drivers!$E$76-Drivers!$E$75))+(Drivers!$E$79+(16-12)/12*(Drivers!$E$80-Drivers!$E$79))+(Drivers!$E$83+(16-12)/12*(Drivers!$E$84-Drivers!$E$83))+(Drivers!$E$87+(16-12)/12*(Drivers!$E$88-Drivers!$E$87))+(Drivers!$E$91+(16-12)/12*(Drivers!$E$92-Drivers!$E$91))+(Drivers!$E$95+(16-12)/12*(Drivers!$E$96-Drivers!$E$95))+(Drivers!$E$99+(16-12)/12*(Drivers!$E$100-Drivers!$E$99))</f>
        <v>12</v>
      </c>
      <c r="S18" s="26" t="n">
        <f aca="false">(Drivers!$E$71+(17-12)/12*(Drivers!$E$72-Drivers!$E$71))+(Drivers!$E$75+(17-12)/12*(Drivers!$E$76-Drivers!$E$75))+(Drivers!$E$79+(17-12)/12*(Drivers!$E$80-Drivers!$E$79))+(Drivers!$E$83+(17-12)/12*(Drivers!$E$84-Drivers!$E$83))+(Drivers!$E$87+(17-12)/12*(Drivers!$E$88-Drivers!$E$87))+(Drivers!$E$91+(17-12)/12*(Drivers!$E$92-Drivers!$E$91))+(Drivers!$E$95+(17-12)/12*(Drivers!$E$96-Drivers!$E$95))+(Drivers!$E$99+(17-12)/12*(Drivers!$E$100-Drivers!$E$99))</f>
        <v>12.5</v>
      </c>
      <c r="T18" s="26" t="n">
        <f aca="false">(Drivers!$E$71+(18-12)/12*(Drivers!$E$72-Drivers!$E$71))+(Drivers!$E$75+(18-12)/12*(Drivers!$E$76-Drivers!$E$75))+(Drivers!$E$79+(18-12)/12*(Drivers!$E$80-Drivers!$E$79))+(Drivers!$E$83+(18-12)/12*(Drivers!$E$84-Drivers!$E$83))+(Drivers!$E$87+(18-12)/12*(Drivers!$E$88-Drivers!$E$87))+(Drivers!$E$91+(18-12)/12*(Drivers!$E$92-Drivers!$E$91))+(Drivers!$E$95+(18-12)/12*(Drivers!$E$96-Drivers!$E$95))+(Drivers!$E$99+(18-12)/12*(Drivers!$E$100-Drivers!$E$99))</f>
        <v>13</v>
      </c>
      <c r="U18" s="26" t="n">
        <f aca="false">(Drivers!$E$71+(19-12)/12*(Drivers!$E$72-Drivers!$E$71))+(Drivers!$E$75+(19-12)/12*(Drivers!$E$76-Drivers!$E$75))+(Drivers!$E$79+(19-12)/12*(Drivers!$E$80-Drivers!$E$79))+(Drivers!$E$83+(19-12)/12*(Drivers!$E$84-Drivers!$E$83))+(Drivers!$E$87+(19-12)/12*(Drivers!$E$88-Drivers!$E$87))+(Drivers!$E$91+(19-12)/12*(Drivers!$E$92-Drivers!$E$91))+(Drivers!$E$95+(19-12)/12*(Drivers!$E$96-Drivers!$E$95))+(Drivers!$E$99+(19-12)/12*(Drivers!$E$100-Drivers!$E$99))</f>
        <v>13.5</v>
      </c>
      <c r="V18" s="26" t="n">
        <f aca="false">(Drivers!$E$71+(20-12)/12*(Drivers!$E$72-Drivers!$E$71))+(Drivers!$E$75+(20-12)/12*(Drivers!$E$76-Drivers!$E$75))+(Drivers!$E$79+(20-12)/12*(Drivers!$E$80-Drivers!$E$79))+(Drivers!$E$83+(20-12)/12*(Drivers!$E$84-Drivers!$E$83))+(Drivers!$E$87+(20-12)/12*(Drivers!$E$88-Drivers!$E$87))+(Drivers!$E$91+(20-12)/12*(Drivers!$E$92-Drivers!$E$91))+(Drivers!$E$95+(20-12)/12*(Drivers!$E$96-Drivers!$E$95))+(Drivers!$E$99+(20-12)/12*(Drivers!$E$100-Drivers!$E$99))</f>
        <v>14</v>
      </c>
      <c r="W18" s="26" t="n">
        <f aca="false">(Drivers!$E$71+(21-12)/12*(Drivers!$E$72-Drivers!$E$71))+(Drivers!$E$75+(21-12)/12*(Drivers!$E$76-Drivers!$E$75))+(Drivers!$E$79+(21-12)/12*(Drivers!$E$80-Drivers!$E$79))+(Drivers!$E$83+(21-12)/12*(Drivers!$E$84-Drivers!$E$83))+(Drivers!$E$87+(21-12)/12*(Drivers!$E$88-Drivers!$E$87))+(Drivers!$E$91+(21-12)/12*(Drivers!$E$92-Drivers!$E$91))+(Drivers!$E$95+(21-12)/12*(Drivers!$E$96-Drivers!$E$95))+(Drivers!$E$99+(21-12)/12*(Drivers!$E$100-Drivers!$E$99))</f>
        <v>14.5</v>
      </c>
      <c r="X18" s="26" t="n">
        <f aca="false">(Drivers!$E$71+(22-12)/12*(Drivers!$E$72-Drivers!$E$71))+(Drivers!$E$75+(22-12)/12*(Drivers!$E$76-Drivers!$E$75))+(Drivers!$E$79+(22-12)/12*(Drivers!$E$80-Drivers!$E$79))+(Drivers!$E$83+(22-12)/12*(Drivers!$E$84-Drivers!$E$83))+(Drivers!$E$87+(22-12)/12*(Drivers!$E$88-Drivers!$E$87))+(Drivers!$E$91+(22-12)/12*(Drivers!$E$92-Drivers!$E$91))+(Drivers!$E$95+(22-12)/12*(Drivers!$E$96-Drivers!$E$95))+(Drivers!$E$99+(22-12)/12*(Drivers!$E$100-Drivers!$E$99))</f>
        <v>15</v>
      </c>
      <c r="Y18" s="26" t="n">
        <f aca="false">(Drivers!$E$71+(23-12)/12*(Drivers!$E$72-Drivers!$E$71))+(Drivers!$E$75+(23-12)/12*(Drivers!$E$76-Drivers!$E$75))+(Drivers!$E$79+(23-12)/12*(Drivers!$E$80-Drivers!$E$79))+(Drivers!$E$83+(23-12)/12*(Drivers!$E$84-Drivers!$E$83))+(Drivers!$E$87+(23-12)/12*(Drivers!$E$88-Drivers!$E$87))+(Drivers!$E$91+(23-12)/12*(Drivers!$E$92-Drivers!$E$91))+(Drivers!$E$95+(23-12)/12*(Drivers!$E$96-Drivers!$E$95))+(Drivers!$E$99+(23-12)/12*(Drivers!$E$100-Drivers!$E$99))</f>
        <v>15.5</v>
      </c>
      <c r="Z18" s="26" t="n">
        <f aca="false">(Drivers!$E$71+(24-12)/12*(Drivers!$E$72-Drivers!$E$71))+(Drivers!$E$75+(24-12)/12*(Drivers!$E$76-Drivers!$E$75))+(Drivers!$E$79+(24-12)/12*(Drivers!$E$80-Drivers!$E$79))+(Drivers!$E$83+(24-12)/12*(Drivers!$E$84-Drivers!$E$83))+(Drivers!$E$87+(24-12)/12*(Drivers!$E$88-Drivers!$E$87))+(Drivers!$E$91+(24-12)/12*(Drivers!$E$92-Drivers!$E$91))+(Drivers!$E$95+(24-12)/12*(Drivers!$E$96-Drivers!$E$95))+(Drivers!$E$99+(24-12)/12*(Drivers!$E$100-Drivers!$E$99))</f>
        <v>16</v>
      </c>
      <c r="AA18" s="26" t="n">
        <f aca="false">(Drivers!$E$72+(25-24)/12*(Drivers!$E$73-Drivers!$E$72))+(Drivers!$E$76+(25-24)/12*(Drivers!$E$77-Drivers!$E$76))+(Drivers!$E$80+(25-24)/12*(Drivers!$E$81-Drivers!$E$80))+(Drivers!$E$84+(25-24)/12*(Drivers!$E$85-Drivers!$E$84))+(Drivers!$E$88+(25-24)/12*(Drivers!$E$89-Drivers!$E$88))+(Drivers!$E$92+(25-24)/12*(Drivers!$E$93-Drivers!$E$92))+(Drivers!$E$96+(25-24)/12*(Drivers!$E$97-Drivers!$E$96))+(Drivers!$E$100+(25-24)/12*(Drivers!$E$101-Drivers!$E$100))</f>
        <v>16.5833333333333</v>
      </c>
      <c r="AB18" s="26" t="n">
        <f aca="false">(Drivers!$E$72+(26-24)/12*(Drivers!$E$73-Drivers!$E$72))+(Drivers!$E$76+(26-24)/12*(Drivers!$E$77-Drivers!$E$76))+(Drivers!$E$80+(26-24)/12*(Drivers!$E$81-Drivers!$E$80))+(Drivers!$E$84+(26-24)/12*(Drivers!$E$85-Drivers!$E$84))+(Drivers!$E$88+(26-24)/12*(Drivers!$E$89-Drivers!$E$88))+(Drivers!$E$92+(26-24)/12*(Drivers!$E$93-Drivers!$E$92))+(Drivers!$E$96+(26-24)/12*(Drivers!$E$97-Drivers!$E$96))+(Drivers!$E$100+(26-24)/12*(Drivers!$E$101-Drivers!$E$100))</f>
        <v>17.1666666666667</v>
      </c>
      <c r="AC18" s="26" t="n">
        <f aca="false">(Drivers!$E$72+(27-24)/12*(Drivers!$E$73-Drivers!$E$72))+(Drivers!$E$76+(27-24)/12*(Drivers!$E$77-Drivers!$E$76))+(Drivers!$E$80+(27-24)/12*(Drivers!$E$81-Drivers!$E$80))+(Drivers!$E$84+(27-24)/12*(Drivers!$E$85-Drivers!$E$84))+(Drivers!$E$88+(27-24)/12*(Drivers!$E$89-Drivers!$E$88))+(Drivers!$E$92+(27-24)/12*(Drivers!$E$93-Drivers!$E$92))+(Drivers!$E$96+(27-24)/12*(Drivers!$E$97-Drivers!$E$96))+(Drivers!$E$100+(27-24)/12*(Drivers!$E$101-Drivers!$E$100))</f>
        <v>17.75</v>
      </c>
      <c r="AD18" s="26" t="n">
        <f aca="false">(Drivers!$E$72+(28-24)/12*(Drivers!$E$73-Drivers!$E$72))+(Drivers!$E$76+(28-24)/12*(Drivers!$E$77-Drivers!$E$76))+(Drivers!$E$80+(28-24)/12*(Drivers!$E$81-Drivers!$E$80))+(Drivers!$E$84+(28-24)/12*(Drivers!$E$85-Drivers!$E$84))+(Drivers!$E$88+(28-24)/12*(Drivers!$E$89-Drivers!$E$88))+(Drivers!$E$92+(28-24)/12*(Drivers!$E$93-Drivers!$E$92))+(Drivers!$E$96+(28-24)/12*(Drivers!$E$97-Drivers!$E$96))+(Drivers!$E$100+(28-24)/12*(Drivers!$E$101-Drivers!$E$100))</f>
        <v>18.3333333333333</v>
      </c>
      <c r="AE18" s="26" t="n">
        <f aca="false">(Drivers!$E$72+(29-24)/12*(Drivers!$E$73-Drivers!$E$72))+(Drivers!$E$76+(29-24)/12*(Drivers!$E$77-Drivers!$E$76))+(Drivers!$E$80+(29-24)/12*(Drivers!$E$81-Drivers!$E$80))+(Drivers!$E$84+(29-24)/12*(Drivers!$E$85-Drivers!$E$84))+(Drivers!$E$88+(29-24)/12*(Drivers!$E$89-Drivers!$E$88))+(Drivers!$E$92+(29-24)/12*(Drivers!$E$93-Drivers!$E$92))+(Drivers!$E$96+(29-24)/12*(Drivers!$E$97-Drivers!$E$96))+(Drivers!$E$100+(29-24)/12*(Drivers!$E$101-Drivers!$E$100))</f>
        <v>18.9166666666667</v>
      </c>
      <c r="AF18" s="26" t="n">
        <f aca="false">(Drivers!$E$72+(30-24)/12*(Drivers!$E$73-Drivers!$E$72))+(Drivers!$E$76+(30-24)/12*(Drivers!$E$77-Drivers!$E$76))+(Drivers!$E$80+(30-24)/12*(Drivers!$E$81-Drivers!$E$80))+(Drivers!$E$84+(30-24)/12*(Drivers!$E$85-Drivers!$E$84))+(Drivers!$E$88+(30-24)/12*(Drivers!$E$89-Drivers!$E$88))+(Drivers!$E$92+(30-24)/12*(Drivers!$E$93-Drivers!$E$92))+(Drivers!$E$96+(30-24)/12*(Drivers!$E$97-Drivers!$E$96))+(Drivers!$E$100+(30-24)/12*(Drivers!$E$101-Drivers!$E$100))</f>
        <v>19.5</v>
      </c>
      <c r="AG18" s="26" t="n">
        <f aca="false">(Drivers!$E$72+(31-24)/12*(Drivers!$E$73-Drivers!$E$72))+(Drivers!$E$76+(31-24)/12*(Drivers!$E$77-Drivers!$E$76))+(Drivers!$E$80+(31-24)/12*(Drivers!$E$81-Drivers!$E$80))+(Drivers!$E$84+(31-24)/12*(Drivers!$E$85-Drivers!$E$84))+(Drivers!$E$88+(31-24)/12*(Drivers!$E$89-Drivers!$E$88))+(Drivers!$E$92+(31-24)/12*(Drivers!$E$93-Drivers!$E$92))+(Drivers!$E$96+(31-24)/12*(Drivers!$E$97-Drivers!$E$96))+(Drivers!$E$100+(31-24)/12*(Drivers!$E$101-Drivers!$E$100))</f>
        <v>20.0833333333333</v>
      </c>
      <c r="AH18" s="26" t="n">
        <f aca="false">(Drivers!$E$72+(32-24)/12*(Drivers!$E$73-Drivers!$E$72))+(Drivers!$E$76+(32-24)/12*(Drivers!$E$77-Drivers!$E$76))+(Drivers!$E$80+(32-24)/12*(Drivers!$E$81-Drivers!$E$80))+(Drivers!$E$84+(32-24)/12*(Drivers!$E$85-Drivers!$E$84))+(Drivers!$E$88+(32-24)/12*(Drivers!$E$89-Drivers!$E$88))+(Drivers!$E$92+(32-24)/12*(Drivers!$E$93-Drivers!$E$92))+(Drivers!$E$96+(32-24)/12*(Drivers!$E$97-Drivers!$E$96))+(Drivers!$E$100+(32-24)/12*(Drivers!$E$101-Drivers!$E$100))</f>
        <v>20.6666666666667</v>
      </c>
      <c r="AI18" s="26" t="n">
        <f aca="false">(Drivers!$E$72+(33-24)/12*(Drivers!$E$73-Drivers!$E$72))+(Drivers!$E$76+(33-24)/12*(Drivers!$E$77-Drivers!$E$76))+(Drivers!$E$80+(33-24)/12*(Drivers!$E$81-Drivers!$E$80))+(Drivers!$E$84+(33-24)/12*(Drivers!$E$85-Drivers!$E$84))+(Drivers!$E$88+(33-24)/12*(Drivers!$E$89-Drivers!$E$88))+(Drivers!$E$92+(33-24)/12*(Drivers!$E$93-Drivers!$E$92))+(Drivers!$E$96+(33-24)/12*(Drivers!$E$97-Drivers!$E$96))+(Drivers!$E$100+(33-24)/12*(Drivers!$E$101-Drivers!$E$100))</f>
        <v>21.25</v>
      </c>
      <c r="AJ18" s="26" t="n">
        <f aca="false">(Drivers!$E$72+(34-24)/12*(Drivers!$E$73-Drivers!$E$72))+(Drivers!$E$76+(34-24)/12*(Drivers!$E$77-Drivers!$E$76))+(Drivers!$E$80+(34-24)/12*(Drivers!$E$81-Drivers!$E$80))+(Drivers!$E$84+(34-24)/12*(Drivers!$E$85-Drivers!$E$84))+(Drivers!$E$88+(34-24)/12*(Drivers!$E$89-Drivers!$E$88))+(Drivers!$E$92+(34-24)/12*(Drivers!$E$93-Drivers!$E$92))+(Drivers!$E$96+(34-24)/12*(Drivers!$E$97-Drivers!$E$96))+(Drivers!$E$100+(34-24)/12*(Drivers!$E$101-Drivers!$E$100))</f>
        <v>21.8333333333333</v>
      </c>
      <c r="AK18" s="26" t="n">
        <f aca="false">(Drivers!$E$72+(35-24)/12*(Drivers!$E$73-Drivers!$E$72))+(Drivers!$E$76+(35-24)/12*(Drivers!$E$77-Drivers!$E$76))+(Drivers!$E$80+(35-24)/12*(Drivers!$E$81-Drivers!$E$80))+(Drivers!$E$84+(35-24)/12*(Drivers!$E$85-Drivers!$E$84))+(Drivers!$E$88+(35-24)/12*(Drivers!$E$89-Drivers!$E$88))+(Drivers!$E$92+(35-24)/12*(Drivers!$E$93-Drivers!$E$92))+(Drivers!$E$96+(35-24)/12*(Drivers!$E$97-Drivers!$E$96))+(Drivers!$E$100+(35-24)/12*(Drivers!$E$101-Drivers!$E$100))</f>
        <v>22.4166666666667</v>
      </c>
      <c r="AL18" s="26" t="n">
        <f aca="false">(Drivers!$E$72+(36-24)/12*(Drivers!$E$73-Drivers!$E$72))+(Drivers!$E$76+(36-24)/12*(Drivers!$E$77-Drivers!$E$76))+(Drivers!$E$80+(36-24)/12*(Drivers!$E$81-Drivers!$E$80))+(Drivers!$E$84+(36-24)/12*(Drivers!$E$85-Drivers!$E$84))+(Drivers!$E$88+(36-24)/12*(Drivers!$E$89-Drivers!$E$88))+(Drivers!$E$92+(36-24)/12*(Drivers!$E$93-Drivers!$E$92))+(Drivers!$E$96+(36-24)/12*(Drivers!$E$97-Drivers!$E$96))+(Drivers!$E$100+(36-24)/12*(Drivers!$E$101-Drivers!$E$100))</f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8" min="3" style="0" width="11"/>
  </cols>
  <sheetData>
    <row r="2" customFormat="false" ht="22.05" hidden="false" customHeight="false" outlineLevel="0" collapsed="false">
      <c r="B2" s="1" t="s">
        <v>13</v>
      </c>
    </row>
    <row r="3" customFormat="false" ht="22.35" hidden="false" customHeight="false" outlineLevel="0" collapsed="false">
      <c r="B3" s="16" t="s">
        <v>314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8" t="s">
        <v>315</v>
      </c>
      <c r="C7" s="26" t="n">
        <f aca="false">1+IF(1&gt;=Drivers!$E$109,1,0)+IF(1&gt;=Drivers!$E$110,1,0)</f>
        <v>1</v>
      </c>
      <c r="D7" s="26" t="n">
        <f aca="false">1+IF(2&gt;=Drivers!$E$109,1,0)+IF(2&gt;=Drivers!$E$110,1,0)</f>
        <v>1</v>
      </c>
      <c r="E7" s="26" t="n">
        <f aca="false">1+IF(3&gt;=Drivers!$E$109,1,0)+IF(3&gt;=Drivers!$E$110,1,0)</f>
        <v>1</v>
      </c>
      <c r="F7" s="26" t="n">
        <f aca="false">1+IF(4&gt;=Drivers!$E$109,1,0)+IF(4&gt;=Drivers!$E$110,1,0)</f>
        <v>1</v>
      </c>
      <c r="G7" s="26" t="n">
        <f aca="false">1+IF(5&gt;=Drivers!$E$109,1,0)+IF(5&gt;=Drivers!$E$110,1,0)</f>
        <v>1</v>
      </c>
      <c r="H7" s="26" t="n">
        <f aca="false">1+IF(6&gt;=Drivers!$E$109,1,0)+IF(6&gt;=Drivers!$E$110,1,0)</f>
        <v>1</v>
      </c>
      <c r="I7" s="26" t="n">
        <f aca="false">1+IF(7&gt;=Drivers!$E$109,1,0)+IF(7&gt;=Drivers!$E$110,1,0)</f>
        <v>1</v>
      </c>
      <c r="J7" s="26" t="n">
        <f aca="false">1+IF(8&gt;=Drivers!$E$109,1,0)+IF(8&gt;=Drivers!$E$110,1,0)</f>
        <v>1</v>
      </c>
      <c r="K7" s="26" t="n">
        <f aca="false">1+IF(9&gt;=Drivers!$E$109,1,0)+IF(9&gt;=Drivers!$E$110,1,0)</f>
        <v>1</v>
      </c>
      <c r="L7" s="26" t="n">
        <f aca="false">1+IF(10&gt;=Drivers!$E$109,1,0)+IF(10&gt;=Drivers!$E$110,1,0)</f>
        <v>1</v>
      </c>
      <c r="M7" s="26" t="n">
        <f aca="false">1+IF(11&gt;=Drivers!$E$109,1,0)+IF(11&gt;=Drivers!$E$110,1,0)</f>
        <v>1</v>
      </c>
      <c r="N7" s="26" t="n">
        <f aca="false">1+IF(12&gt;=Drivers!$E$109,1,0)+IF(12&gt;=Drivers!$E$110,1,0)</f>
        <v>1</v>
      </c>
      <c r="O7" s="26" t="n">
        <f aca="false">1+IF(13&gt;=Drivers!$E$109,1,0)+IF(13&gt;=Drivers!$E$110,1,0)</f>
        <v>1</v>
      </c>
      <c r="P7" s="26" t="n">
        <f aca="false">1+IF(14&gt;=Drivers!$E$109,1,0)+IF(14&gt;=Drivers!$E$110,1,0)</f>
        <v>1</v>
      </c>
      <c r="Q7" s="26" t="n">
        <f aca="false">1+IF(15&gt;=Drivers!$E$109,1,0)+IF(15&gt;=Drivers!$E$110,1,0)</f>
        <v>1</v>
      </c>
      <c r="R7" s="26" t="n">
        <f aca="false">1+IF(16&gt;=Drivers!$E$109,1,0)+IF(16&gt;=Drivers!$E$110,1,0)</f>
        <v>2</v>
      </c>
      <c r="S7" s="26" t="n">
        <f aca="false">1+IF(17&gt;=Drivers!$E$109,1,0)+IF(17&gt;=Drivers!$E$110,1,0)</f>
        <v>2</v>
      </c>
      <c r="T7" s="26" t="n">
        <f aca="false">1+IF(18&gt;=Drivers!$E$109,1,0)+IF(18&gt;=Drivers!$E$110,1,0)</f>
        <v>2</v>
      </c>
      <c r="U7" s="26" t="n">
        <f aca="false">1+IF(19&gt;=Drivers!$E$109,1,0)+IF(19&gt;=Drivers!$E$110,1,0)</f>
        <v>2</v>
      </c>
      <c r="V7" s="26" t="n">
        <f aca="false">1+IF(20&gt;=Drivers!$E$109,1,0)+IF(20&gt;=Drivers!$E$110,1,0)</f>
        <v>2</v>
      </c>
      <c r="W7" s="26" t="n">
        <f aca="false">1+IF(21&gt;=Drivers!$E$109,1,0)+IF(21&gt;=Drivers!$E$110,1,0)</f>
        <v>2</v>
      </c>
      <c r="X7" s="26" t="n">
        <f aca="false">1+IF(22&gt;=Drivers!$E$109,1,0)+IF(22&gt;=Drivers!$E$110,1,0)</f>
        <v>2</v>
      </c>
      <c r="Y7" s="26" t="n">
        <f aca="false">1+IF(23&gt;=Drivers!$E$109,1,0)+IF(23&gt;=Drivers!$E$110,1,0)</f>
        <v>2</v>
      </c>
      <c r="Z7" s="26" t="n">
        <f aca="false">1+IF(24&gt;=Drivers!$E$109,1,0)+IF(24&gt;=Drivers!$E$110,1,0)</f>
        <v>2</v>
      </c>
      <c r="AA7" s="26" t="n">
        <f aca="false">1+IF(25&gt;=Drivers!$E$109,1,0)+IF(25&gt;=Drivers!$E$110,1,0)</f>
        <v>2</v>
      </c>
      <c r="AB7" s="26" t="n">
        <f aca="false">1+IF(26&gt;=Drivers!$E$109,1,0)+IF(26&gt;=Drivers!$E$110,1,0)</f>
        <v>2</v>
      </c>
      <c r="AC7" s="26" t="n">
        <f aca="false">1+IF(27&gt;=Drivers!$E$109,1,0)+IF(27&gt;=Drivers!$E$110,1,0)</f>
        <v>3</v>
      </c>
      <c r="AD7" s="26" t="n">
        <f aca="false">1+IF(28&gt;=Drivers!$E$109,1,0)+IF(28&gt;=Drivers!$E$110,1,0)</f>
        <v>3</v>
      </c>
      <c r="AE7" s="26" t="n">
        <f aca="false">1+IF(29&gt;=Drivers!$E$109,1,0)+IF(29&gt;=Drivers!$E$110,1,0)</f>
        <v>3</v>
      </c>
      <c r="AF7" s="26" t="n">
        <f aca="false">1+IF(30&gt;=Drivers!$E$109,1,0)+IF(30&gt;=Drivers!$E$110,1,0)</f>
        <v>3</v>
      </c>
      <c r="AG7" s="26" t="n">
        <f aca="false">1+IF(31&gt;=Drivers!$E$109,1,0)+IF(31&gt;=Drivers!$E$110,1,0)</f>
        <v>3</v>
      </c>
      <c r="AH7" s="26" t="n">
        <f aca="false">1+IF(32&gt;=Drivers!$E$109,1,0)+IF(32&gt;=Drivers!$E$110,1,0)</f>
        <v>3</v>
      </c>
      <c r="AI7" s="26" t="n">
        <f aca="false">1+IF(33&gt;=Drivers!$E$109,1,0)+IF(33&gt;=Drivers!$E$110,1,0)</f>
        <v>3</v>
      </c>
      <c r="AJ7" s="26" t="n">
        <f aca="false">1+IF(34&gt;=Drivers!$E$109,1,0)+IF(34&gt;=Drivers!$E$110,1,0)</f>
        <v>3</v>
      </c>
      <c r="AK7" s="26" t="n">
        <f aca="false">1+IF(35&gt;=Drivers!$E$109,1,0)+IF(35&gt;=Drivers!$E$110,1,0)</f>
        <v>3</v>
      </c>
      <c r="AL7" s="26" t="n">
        <f aca="false">1+IF(36&gt;=Drivers!$E$109,1,0)+IF(36&gt;=Drivers!$E$110,1,0)</f>
        <v>3</v>
      </c>
    </row>
    <row r="8" customFormat="false" ht="15" hidden="false" customHeight="false" outlineLevel="0" collapsed="false">
      <c r="B8" s="8" t="s">
        <v>316</v>
      </c>
      <c r="C8" s="21" t="n">
        <f aca="false">IF(1&gt;Drivers!$E$108,1,0)*Drivers!$E$104+IF(1&gt;=Drivers!$E$109+Drivers!$E$108,1,0)*Drivers!$E$104*Drivers!$E$111+IF(1&gt;=Drivers!$E$110+Drivers!$E$108,1,0)*Drivers!$E$104*Drivers!$E$111</f>
        <v>0</v>
      </c>
      <c r="D8" s="21" t="n">
        <f aca="false">IF(2&gt;Drivers!$E$108,1,0)*Drivers!$E$104+IF(2&gt;=Drivers!$E$109+Drivers!$E$108,1,0)*Drivers!$E$104*Drivers!$E$111+IF(2&gt;=Drivers!$E$110+Drivers!$E$108,1,0)*Drivers!$E$104*Drivers!$E$111</f>
        <v>0</v>
      </c>
      <c r="E8" s="21" t="n">
        <f aca="false">IF(3&gt;Drivers!$E$108,1,0)*Drivers!$E$104+IF(3&gt;=Drivers!$E$109+Drivers!$E$108,1,0)*Drivers!$E$104*Drivers!$E$111+IF(3&gt;=Drivers!$E$110+Drivers!$E$108,1,0)*Drivers!$E$104*Drivers!$E$111</f>
        <v>0</v>
      </c>
      <c r="F8" s="21" t="n">
        <f aca="false">IF(4&gt;Drivers!$E$108,1,0)*Drivers!$E$104+IF(4&gt;=Drivers!$E$109+Drivers!$E$108,1,0)*Drivers!$E$104*Drivers!$E$111+IF(4&gt;=Drivers!$E$110+Drivers!$E$108,1,0)*Drivers!$E$104*Drivers!$E$111</f>
        <v>0</v>
      </c>
      <c r="G8" s="21" t="n">
        <f aca="false">IF(5&gt;Drivers!$E$108,1,0)*Drivers!$E$104+IF(5&gt;=Drivers!$E$109+Drivers!$E$108,1,0)*Drivers!$E$104*Drivers!$E$111+IF(5&gt;=Drivers!$E$110+Drivers!$E$108,1,0)*Drivers!$E$104*Drivers!$E$111</f>
        <v>0</v>
      </c>
      <c r="H8" s="21" t="n">
        <f aca="false">IF(6&gt;Drivers!$E$108,1,0)*Drivers!$E$104+IF(6&gt;=Drivers!$E$109+Drivers!$E$108,1,0)*Drivers!$E$104*Drivers!$E$111+IF(6&gt;=Drivers!$E$110+Drivers!$E$108,1,0)*Drivers!$E$104*Drivers!$E$111</f>
        <v>0</v>
      </c>
      <c r="I8" s="21" t="n">
        <f aca="false">IF(7&gt;Drivers!$E$108,1,0)*Drivers!$E$104+IF(7&gt;=Drivers!$E$109+Drivers!$E$108,1,0)*Drivers!$E$104*Drivers!$E$111+IF(7&gt;=Drivers!$E$110+Drivers!$E$108,1,0)*Drivers!$E$104*Drivers!$E$111</f>
        <v>35000</v>
      </c>
      <c r="J8" s="21" t="n">
        <f aca="false">IF(8&gt;Drivers!$E$108,1,0)*Drivers!$E$104+IF(8&gt;=Drivers!$E$109+Drivers!$E$108,1,0)*Drivers!$E$104*Drivers!$E$111+IF(8&gt;=Drivers!$E$110+Drivers!$E$108,1,0)*Drivers!$E$104*Drivers!$E$111</f>
        <v>35000</v>
      </c>
      <c r="K8" s="21" t="n">
        <f aca="false">IF(9&gt;Drivers!$E$108,1,0)*Drivers!$E$104+IF(9&gt;=Drivers!$E$109+Drivers!$E$108,1,0)*Drivers!$E$104*Drivers!$E$111+IF(9&gt;=Drivers!$E$110+Drivers!$E$108,1,0)*Drivers!$E$104*Drivers!$E$111</f>
        <v>35000</v>
      </c>
      <c r="L8" s="21" t="n">
        <f aca="false">IF(10&gt;Drivers!$E$108,1,0)*Drivers!$E$104+IF(10&gt;=Drivers!$E$109+Drivers!$E$108,1,0)*Drivers!$E$104*Drivers!$E$111+IF(10&gt;=Drivers!$E$110+Drivers!$E$108,1,0)*Drivers!$E$104*Drivers!$E$111</f>
        <v>35000</v>
      </c>
      <c r="M8" s="21" t="n">
        <f aca="false">IF(11&gt;Drivers!$E$108,1,0)*Drivers!$E$104+IF(11&gt;=Drivers!$E$109+Drivers!$E$108,1,0)*Drivers!$E$104*Drivers!$E$111+IF(11&gt;=Drivers!$E$110+Drivers!$E$108,1,0)*Drivers!$E$104*Drivers!$E$111</f>
        <v>35000</v>
      </c>
      <c r="N8" s="21" t="n">
        <f aca="false">IF(12&gt;Drivers!$E$108,1,0)*Drivers!$E$104+IF(12&gt;=Drivers!$E$109+Drivers!$E$108,1,0)*Drivers!$E$104*Drivers!$E$111+IF(12&gt;=Drivers!$E$110+Drivers!$E$108,1,0)*Drivers!$E$104*Drivers!$E$111</f>
        <v>35000</v>
      </c>
      <c r="O8" s="21" t="n">
        <f aca="false">IF(13&gt;Drivers!$E$108,1,0)*Drivers!$E$104+IF(13&gt;=Drivers!$E$109+Drivers!$E$108,1,0)*Drivers!$E$104*Drivers!$E$111+IF(13&gt;=Drivers!$E$110+Drivers!$E$108,1,0)*Drivers!$E$104*Drivers!$E$111</f>
        <v>35000</v>
      </c>
      <c r="P8" s="21" t="n">
        <f aca="false">IF(14&gt;Drivers!$E$108,1,0)*Drivers!$E$104+IF(14&gt;=Drivers!$E$109+Drivers!$E$108,1,0)*Drivers!$E$104*Drivers!$E$111+IF(14&gt;=Drivers!$E$110+Drivers!$E$108,1,0)*Drivers!$E$104*Drivers!$E$111</f>
        <v>35000</v>
      </c>
      <c r="Q8" s="21" t="n">
        <f aca="false">IF(15&gt;Drivers!$E$108,1,0)*Drivers!$E$104+IF(15&gt;=Drivers!$E$109+Drivers!$E$108,1,0)*Drivers!$E$104*Drivers!$E$111+IF(15&gt;=Drivers!$E$110+Drivers!$E$108,1,0)*Drivers!$E$104*Drivers!$E$111</f>
        <v>35000</v>
      </c>
      <c r="R8" s="21" t="n">
        <f aca="false">IF(16&gt;Drivers!$E$108,1,0)*Drivers!$E$104+IF(16&gt;=Drivers!$E$109+Drivers!$E$108,1,0)*Drivers!$E$104*Drivers!$E$111+IF(16&gt;=Drivers!$E$110+Drivers!$E$108,1,0)*Drivers!$E$104*Drivers!$E$111</f>
        <v>35000</v>
      </c>
      <c r="S8" s="21" t="n">
        <f aca="false">IF(17&gt;Drivers!$E$108,1,0)*Drivers!$E$104+IF(17&gt;=Drivers!$E$109+Drivers!$E$108,1,0)*Drivers!$E$104*Drivers!$E$111+IF(17&gt;=Drivers!$E$110+Drivers!$E$108,1,0)*Drivers!$E$104*Drivers!$E$111</f>
        <v>35000</v>
      </c>
      <c r="T8" s="21" t="n">
        <f aca="false">IF(18&gt;Drivers!$E$108,1,0)*Drivers!$E$104+IF(18&gt;=Drivers!$E$109+Drivers!$E$108,1,0)*Drivers!$E$104*Drivers!$E$111+IF(18&gt;=Drivers!$E$110+Drivers!$E$108,1,0)*Drivers!$E$104*Drivers!$E$111</f>
        <v>35000</v>
      </c>
      <c r="U8" s="21" t="n">
        <f aca="false">IF(19&gt;Drivers!$E$108,1,0)*Drivers!$E$104+IF(19&gt;=Drivers!$E$109+Drivers!$E$108,1,0)*Drivers!$E$104*Drivers!$E$111+IF(19&gt;=Drivers!$E$110+Drivers!$E$108,1,0)*Drivers!$E$104*Drivers!$E$111</f>
        <v>35000</v>
      </c>
      <c r="V8" s="21" t="n">
        <f aca="false">IF(20&gt;Drivers!$E$108,1,0)*Drivers!$E$104+IF(20&gt;=Drivers!$E$109+Drivers!$E$108,1,0)*Drivers!$E$104*Drivers!$E$111+IF(20&gt;=Drivers!$E$110+Drivers!$E$108,1,0)*Drivers!$E$104*Drivers!$E$111</f>
        <v>35000</v>
      </c>
      <c r="W8" s="21" t="n">
        <f aca="false">IF(21&gt;Drivers!$E$108,1,0)*Drivers!$E$104+IF(21&gt;=Drivers!$E$109+Drivers!$E$108,1,0)*Drivers!$E$104*Drivers!$E$111+IF(21&gt;=Drivers!$E$110+Drivers!$E$108,1,0)*Drivers!$E$104*Drivers!$E$111</f>
        <v>35000</v>
      </c>
      <c r="X8" s="21" t="n">
        <f aca="false">IF(22&gt;Drivers!$E$108,1,0)*Drivers!$E$104+IF(22&gt;=Drivers!$E$109+Drivers!$E$108,1,0)*Drivers!$E$104*Drivers!$E$111+IF(22&gt;=Drivers!$E$110+Drivers!$E$108,1,0)*Drivers!$E$104*Drivers!$E$111</f>
        <v>70000</v>
      </c>
      <c r="Y8" s="21" t="n">
        <f aca="false">IF(23&gt;Drivers!$E$108,1,0)*Drivers!$E$104+IF(23&gt;=Drivers!$E$109+Drivers!$E$108,1,0)*Drivers!$E$104*Drivers!$E$111+IF(23&gt;=Drivers!$E$110+Drivers!$E$108,1,0)*Drivers!$E$104*Drivers!$E$111</f>
        <v>70000</v>
      </c>
      <c r="Z8" s="21" t="n">
        <f aca="false">IF(24&gt;Drivers!$E$108,1,0)*Drivers!$E$104+IF(24&gt;=Drivers!$E$109+Drivers!$E$108,1,0)*Drivers!$E$104*Drivers!$E$111+IF(24&gt;=Drivers!$E$110+Drivers!$E$108,1,0)*Drivers!$E$104*Drivers!$E$111</f>
        <v>70000</v>
      </c>
      <c r="AA8" s="21" t="n">
        <f aca="false">IF(25&gt;Drivers!$E$108,1,0)*Drivers!$E$104+IF(25&gt;=Drivers!$E$109+Drivers!$E$108,1,0)*Drivers!$E$104*Drivers!$E$111+IF(25&gt;=Drivers!$E$110+Drivers!$E$108,1,0)*Drivers!$E$104*Drivers!$E$111</f>
        <v>70000</v>
      </c>
      <c r="AB8" s="21" t="n">
        <f aca="false">IF(26&gt;Drivers!$E$108,1,0)*Drivers!$E$104+IF(26&gt;=Drivers!$E$109+Drivers!$E$108,1,0)*Drivers!$E$104*Drivers!$E$111+IF(26&gt;=Drivers!$E$110+Drivers!$E$108,1,0)*Drivers!$E$104*Drivers!$E$111</f>
        <v>70000</v>
      </c>
      <c r="AC8" s="21" t="n">
        <f aca="false">IF(27&gt;Drivers!$E$108,1,0)*Drivers!$E$104+IF(27&gt;=Drivers!$E$109+Drivers!$E$108,1,0)*Drivers!$E$104*Drivers!$E$111+IF(27&gt;=Drivers!$E$110+Drivers!$E$108,1,0)*Drivers!$E$104*Drivers!$E$111</f>
        <v>70000</v>
      </c>
      <c r="AD8" s="21" t="n">
        <f aca="false">IF(28&gt;Drivers!$E$108,1,0)*Drivers!$E$104+IF(28&gt;=Drivers!$E$109+Drivers!$E$108,1,0)*Drivers!$E$104*Drivers!$E$111+IF(28&gt;=Drivers!$E$110+Drivers!$E$108,1,0)*Drivers!$E$104*Drivers!$E$111</f>
        <v>70000</v>
      </c>
      <c r="AE8" s="21" t="n">
        <f aca="false">IF(29&gt;Drivers!$E$108,1,0)*Drivers!$E$104+IF(29&gt;=Drivers!$E$109+Drivers!$E$108,1,0)*Drivers!$E$104*Drivers!$E$111+IF(29&gt;=Drivers!$E$110+Drivers!$E$108,1,0)*Drivers!$E$104*Drivers!$E$111</f>
        <v>70000</v>
      </c>
      <c r="AF8" s="21" t="n">
        <f aca="false">IF(30&gt;Drivers!$E$108,1,0)*Drivers!$E$104+IF(30&gt;=Drivers!$E$109+Drivers!$E$108,1,0)*Drivers!$E$104*Drivers!$E$111+IF(30&gt;=Drivers!$E$110+Drivers!$E$108,1,0)*Drivers!$E$104*Drivers!$E$111</f>
        <v>70000</v>
      </c>
      <c r="AG8" s="21" t="n">
        <f aca="false">IF(31&gt;Drivers!$E$108,1,0)*Drivers!$E$104+IF(31&gt;=Drivers!$E$109+Drivers!$E$108,1,0)*Drivers!$E$104*Drivers!$E$111+IF(31&gt;=Drivers!$E$110+Drivers!$E$108,1,0)*Drivers!$E$104*Drivers!$E$111</f>
        <v>70000</v>
      </c>
      <c r="AH8" s="21" t="n">
        <f aca="false">IF(32&gt;Drivers!$E$108,1,0)*Drivers!$E$104+IF(32&gt;=Drivers!$E$109+Drivers!$E$108,1,0)*Drivers!$E$104*Drivers!$E$111+IF(32&gt;=Drivers!$E$110+Drivers!$E$108,1,0)*Drivers!$E$104*Drivers!$E$111</f>
        <v>70000</v>
      </c>
      <c r="AI8" s="21" t="n">
        <f aca="false">IF(33&gt;Drivers!$E$108,1,0)*Drivers!$E$104+IF(33&gt;=Drivers!$E$109+Drivers!$E$108,1,0)*Drivers!$E$104*Drivers!$E$111+IF(33&gt;=Drivers!$E$110+Drivers!$E$108,1,0)*Drivers!$E$104*Drivers!$E$111</f>
        <v>105000</v>
      </c>
      <c r="AJ8" s="21" t="n">
        <f aca="false">IF(34&gt;Drivers!$E$108,1,0)*Drivers!$E$104+IF(34&gt;=Drivers!$E$109+Drivers!$E$108,1,0)*Drivers!$E$104*Drivers!$E$111+IF(34&gt;=Drivers!$E$110+Drivers!$E$108,1,0)*Drivers!$E$104*Drivers!$E$111</f>
        <v>105000</v>
      </c>
      <c r="AK8" s="21" t="n">
        <f aca="false">IF(35&gt;Drivers!$E$108,1,0)*Drivers!$E$104+IF(35&gt;=Drivers!$E$109+Drivers!$E$108,1,0)*Drivers!$E$104*Drivers!$E$111+IF(35&gt;=Drivers!$E$110+Drivers!$E$108,1,0)*Drivers!$E$104*Drivers!$E$111</f>
        <v>105000</v>
      </c>
      <c r="AL8" s="21" t="n">
        <f aca="false">IF(36&gt;Drivers!$E$108,1,0)*Drivers!$E$104+IF(36&gt;=Drivers!$E$109+Drivers!$E$108,1,0)*Drivers!$E$104*Drivers!$E$111+IF(36&gt;=Drivers!$E$110+Drivers!$E$108,1,0)*Drivers!$E$104*Drivers!$E$111</f>
        <v>105000</v>
      </c>
    </row>
    <row r="9" customFormat="false" ht="15" hidden="false" customHeight="false" outlineLevel="0" collapsed="false">
      <c r="B9" s="8" t="s">
        <v>317</v>
      </c>
      <c r="C9" s="21" t="n">
        <f aca="false">IF(1&gt;Drivers!$E$108,1,0)*Drivers!$E$106+IF(1&gt;=Drivers!$E$109+Drivers!$E$108,1,0)*Drivers!$E$106*Drivers!$E$111+IF(1&gt;=Drivers!$E$110+Drivers!$E$108,1,0)*Drivers!$E$106*Drivers!$E$111</f>
        <v>0</v>
      </c>
      <c r="D9" s="21" t="n">
        <f aca="false">IF(2&gt;Drivers!$E$108,1,0)*Drivers!$E$106+IF(2&gt;=Drivers!$E$109+Drivers!$E$108,1,0)*Drivers!$E$106*Drivers!$E$111+IF(2&gt;=Drivers!$E$110+Drivers!$E$108,1,0)*Drivers!$E$106*Drivers!$E$111</f>
        <v>0</v>
      </c>
      <c r="E9" s="21" t="n">
        <f aca="false">IF(3&gt;Drivers!$E$108,1,0)*Drivers!$E$106+IF(3&gt;=Drivers!$E$109+Drivers!$E$108,1,0)*Drivers!$E$106*Drivers!$E$111+IF(3&gt;=Drivers!$E$110+Drivers!$E$108,1,0)*Drivers!$E$106*Drivers!$E$111</f>
        <v>0</v>
      </c>
      <c r="F9" s="21" t="n">
        <f aca="false">IF(4&gt;Drivers!$E$108,1,0)*Drivers!$E$106+IF(4&gt;=Drivers!$E$109+Drivers!$E$108,1,0)*Drivers!$E$106*Drivers!$E$111+IF(4&gt;=Drivers!$E$110+Drivers!$E$108,1,0)*Drivers!$E$106*Drivers!$E$111</f>
        <v>0</v>
      </c>
      <c r="G9" s="21" t="n">
        <f aca="false">IF(5&gt;Drivers!$E$108,1,0)*Drivers!$E$106+IF(5&gt;=Drivers!$E$109+Drivers!$E$108,1,0)*Drivers!$E$106*Drivers!$E$111+IF(5&gt;=Drivers!$E$110+Drivers!$E$108,1,0)*Drivers!$E$106*Drivers!$E$111</f>
        <v>0</v>
      </c>
      <c r="H9" s="21" t="n">
        <f aca="false">IF(6&gt;Drivers!$E$108,1,0)*Drivers!$E$106+IF(6&gt;=Drivers!$E$109+Drivers!$E$108,1,0)*Drivers!$E$106*Drivers!$E$111+IF(6&gt;=Drivers!$E$110+Drivers!$E$108,1,0)*Drivers!$E$106*Drivers!$E$111</f>
        <v>0</v>
      </c>
      <c r="I9" s="21" t="n">
        <f aca="false">IF(7&gt;Drivers!$E$108,1,0)*Drivers!$E$106+IF(7&gt;=Drivers!$E$109+Drivers!$E$108,1,0)*Drivers!$E$106*Drivers!$E$111+IF(7&gt;=Drivers!$E$110+Drivers!$E$108,1,0)*Drivers!$E$106*Drivers!$E$111</f>
        <v>25000</v>
      </c>
      <c r="J9" s="21" t="n">
        <f aca="false">IF(8&gt;Drivers!$E$108,1,0)*Drivers!$E$106+IF(8&gt;=Drivers!$E$109+Drivers!$E$108,1,0)*Drivers!$E$106*Drivers!$E$111+IF(8&gt;=Drivers!$E$110+Drivers!$E$108,1,0)*Drivers!$E$106*Drivers!$E$111</f>
        <v>25000</v>
      </c>
      <c r="K9" s="21" t="n">
        <f aca="false">IF(9&gt;Drivers!$E$108,1,0)*Drivers!$E$106+IF(9&gt;=Drivers!$E$109+Drivers!$E$108,1,0)*Drivers!$E$106*Drivers!$E$111+IF(9&gt;=Drivers!$E$110+Drivers!$E$108,1,0)*Drivers!$E$106*Drivers!$E$111</f>
        <v>25000</v>
      </c>
      <c r="L9" s="21" t="n">
        <f aca="false">IF(10&gt;Drivers!$E$108,1,0)*Drivers!$E$106+IF(10&gt;=Drivers!$E$109+Drivers!$E$108,1,0)*Drivers!$E$106*Drivers!$E$111+IF(10&gt;=Drivers!$E$110+Drivers!$E$108,1,0)*Drivers!$E$106*Drivers!$E$111</f>
        <v>25000</v>
      </c>
      <c r="M9" s="21" t="n">
        <f aca="false">IF(11&gt;Drivers!$E$108,1,0)*Drivers!$E$106+IF(11&gt;=Drivers!$E$109+Drivers!$E$108,1,0)*Drivers!$E$106*Drivers!$E$111+IF(11&gt;=Drivers!$E$110+Drivers!$E$108,1,0)*Drivers!$E$106*Drivers!$E$111</f>
        <v>25000</v>
      </c>
      <c r="N9" s="21" t="n">
        <f aca="false">IF(12&gt;Drivers!$E$108,1,0)*Drivers!$E$106+IF(12&gt;=Drivers!$E$109+Drivers!$E$108,1,0)*Drivers!$E$106*Drivers!$E$111+IF(12&gt;=Drivers!$E$110+Drivers!$E$108,1,0)*Drivers!$E$106*Drivers!$E$111</f>
        <v>25000</v>
      </c>
      <c r="O9" s="21" t="n">
        <f aca="false">IF(13&gt;Drivers!$E$108,1,0)*Drivers!$E$106+IF(13&gt;=Drivers!$E$109+Drivers!$E$108,1,0)*Drivers!$E$106*Drivers!$E$111+IF(13&gt;=Drivers!$E$110+Drivers!$E$108,1,0)*Drivers!$E$106*Drivers!$E$111</f>
        <v>25000</v>
      </c>
      <c r="P9" s="21" t="n">
        <f aca="false">IF(14&gt;Drivers!$E$108,1,0)*Drivers!$E$106+IF(14&gt;=Drivers!$E$109+Drivers!$E$108,1,0)*Drivers!$E$106*Drivers!$E$111+IF(14&gt;=Drivers!$E$110+Drivers!$E$108,1,0)*Drivers!$E$106*Drivers!$E$111</f>
        <v>25000</v>
      </c>
      <c r="Q9" s="21" t="n">
        <f aca="false">IF(15&gt;Drivers!$E$108,1,0)*Drivers!$E$106+IF(15&gt;=Drivers!$E$109+Drivers!$E$108,1,0)*Drivers!$E$106*Drivers!$E$111+IF(15&gt;=Drivers!$E$110+Drivers!$E$108,1,0)*Drivers!$E$106*Drivers!$E$111</f>
        <v>25000</v>
      </c>
      <c r="R9" s="21" t="n">
        <f aca="false">IF(16&gt;Drivers!$E$108,1,0)*Drivers!$E$106+IF(16&gt;=Drivers!$E$109+Drivers!$E$108,1,0)*Drivers!$E$106*Drivers!$E$111+IF(16&gt;=Drivers!$E$110+Drivers!$E$108,1,0)*Drivers!$E$106*Drivers!$E$111</f>
        <v>25000</v>
      </c>
      <c r="S9" s="21" t="n">
        <f aca="false">IF(17&gt;Drivers!$E$108,1,0)*Drivers!$E$106+IF(17&gt;=Drivers!$E$109+Drivers!$E$108,1,0)*Drivers!$E$106*Drivers!$E$111+IF(17&gt;=Drivers!$E$110+Drivers!$E$108,1,0)*Drivers!$E$106*Drivers!$E$111</f>
        <v>25000</v>
      </c>
      <c r="T9" s="21" t="n">
        <f aca="false">IF(18&gt;Drivers!$E$108,1,0)*Drivers!$E$106+IF(18&gt;=Drivers!$E$109+Drivers!$E$108,1,0)*Drivers!$E$106*Drivers!$E$111+IF(18&gt;=Drivers!$E$110+Drivers!$E$108,1,0)*Drivers!$E$106*Drivers!$E$111</f>
        <v>25000</v>
      </c>
      <c r="U9" s="21" t="n">
        <f aca="false">IF(19&gt;Drivers!$E$108,1,0)*Drivers!$E$106+IF(19&gt;=Drivers!$E$109+Drivers!$E$108,1,0)*Drivers!$E$106*Drivers!$E$111+IF(19&gt;=Drivers!$E$110+Drivers!$E$108,1,0)*Drivers!$E$106*Drivers!$E$111</f>
        <v>25000</v>
      </c>
      <c r="V9" s="21" t="n">
        <f aca="false">IF(20&gt;Drivers!$E$108,1,0)*Drivers!$E$106+IF(20&gt;=Drivers!$E$109+Drivers!$E$108,1,0)*Drivers!$E$106*Drivers!$E$111+IF(20&gt;=Drivers!$E$110+Drivers!$E$108,1,0)*Drivers!$E$106*Drivers!$E$111</f>
        <v>25000</v>
      </c>
      <c r="W9" s="21" t="n">
        <f aca="false">IF(21&gt;Drivers!$E$108,1,0)*Drivers!$E$106+IF(21&gt;=Drivers!$E$109+Drivers!$E$108,1,0)*Drivers!$E$106*Drivers!$E$111+IF(21&gt;=Drivers!$E$110+Drivers!$E$108,1,0)*Drivers!$E$106*Drivers!$E$111</f>
        <v>25000</v>
      </c>
      <c r="X9" s="21" t="n">
        <f aca="false">IF(22&gt;Drivers!$E$108,1,0)*Drivers!$E$106+IF(22&gt;=Drivers!$E$109+Drivers!$E$108,1,0)*Drivers!$E$106*Drivers!$E$111+IF(22&gt;=Drivers!$E$110+Drivers!$E$108,1,0)*Drivers!$E$106*Drivers!$E$111</f>
        <v>50000</v>
      </c>
      <c r="Y9" s="21" t="n">
        <f aca="false">IF(23&gt;Drivers!$E$108,1,0)*Drivers!$E$106+IF(23&gt;=Drivers!$E$109+Drivers!$E$108,1,0)*Drivers!$E$106*Drivers!$E$111+IF(23&gt;=Drivers!$E$110+Drivers!$E$108,1,0)*Drivers!$E$106*Drivers!$E$111</f>
        <v>50000</v>
      </c>
      <c r="Z9" s="21" t="n">
        <f aca="false">IF(24&gt;Drivers!$E$108,1,0)*Drivers!$E$106+IF(24&gt;=Drivers!$E$109+Drivers!$E$108,1,0)*Drivers!$E$106*Drivers!$E$111+IF(24&gt;=Drivers!$E$110+Drivers!$E$108,1,0)*Drivers!$E$106*Drivers!$E$111</f>
        <v>50000</v>
      </c>
      <c r="AA9" s="21" t="n">
        <f aca="false">IF(25&gt;Drivers!$E$108,1,0)*Drivers!$E$106+IF(25&gt;=Drivers!$E$109+Drivers!$E$108,1,0)*Drivers!$E$106*Drivers!$E$111+IF(25&gt;=Drivers!$E$110+Drivers!$E$108,1,0)*Drivers!$E$106*Drivers!$E$111</f>
        <v>50000</v>
      </c>
      <c r="AB9" s="21" t="n">
        <f aca="false">IF(26&gt;Drivers!$E$108,1,0)*Drivers!$E$106+IF(26&gt;=Drivers!$E$109+Drivers!$E$108,1,0)*Drivers!$E$106*Drivers!$E$111+IF(26&gt;=Drivers!$E$110+Drivers!$E$108,1,0)*Drivers!$E$106*Drivers!$E$111</f>
        <v>50000</v>
      </c>
      <c r="AC9" s="21" t="n">
        <f aca="false">IF(27&gt;Drivers!$E$108,1,0)*Drivers!$E$106+IF(27&gt;=Drivers!$E$109+Drivers!$E$108,1,0)*Drivers!$E$106*Drivers!$E$111+IF(27&gt;=Drivers!$E$110+Drivers!$E$108,1,0)*Drivers!$E$106*Drivers!$E$111</f>
        <v>50000</v>
      </c>
      <c r="AD9" s="21" t="n">
        <f aca="false">IF(28&gt;Drivers!$E$108,1,0)*Drivers!$E$106+IF(28&gt;=Drivers!$E$109+Drivers!$E$108,1,0)*Drivers!$E$106*Drivers!$E$111+IF(28&gt;=Drivers!$E$110+Drivers!$E$108,1,0)*Drivers!$E$106*Drivers!$E$111</f>
        <v>50000</v>
      </c>
      <c r="AE9" s="21" t="n">
        <f aca="false">IF(29&gt;Drivers!$E$108,1,0)*Drivers!$E$106+IF(29&gt;=Drivers!$E$109+Drivers!$E$108,1,0)*Drivers!$E$106*Drivers!$E$111+IF(29&gt;=Drivers!$E$110+Drivers!$E$108,1,0)*Drivers!$E$106*Drivers!$E$111</f>
        <v>50000</v>
      </c>
      <c r="AF9" s="21" t="n">
        <f aca="false">IF(30&gt;Drivers!$E$108,1,0)*Drivers!$E$106+IF(30&gt;=Drivers!$E$109+Drivers!$E$108,1,0)*Drivers!$E$106*Drivers!$E$111+IF(30&gt;=Drivers!$E$110+Drivers!$E$108,1,0)*Drivers!$E$106*Drivers!$E$111</f>
        <v>50000</v>
      </c>
      <c r="AG9" s="21" t="n">
        <f aca="false">IF(31&gt;Drivers!$E$108,1,0)*Drivers!$E$106+IF(31&gt;=Drivers!$E$109+Drivers!$E$108,1,0)*Drivers!$E$106*Drivers!$E$111+IF(31&gt;=Drivers!$E$110+Drivers!$E$108,1,0)*Drivers!$E$106*Drivers!$E$111</f>
        <v>50000</v>
      </c>
      <c r="AH9" s="21" t="n">
        <f aca="false">IF(32&gt;Drivers!$E$108,1,0)*Drivers!$E$106+IF(32&gt;=Drivers!$E$109+Drivers!$E$108,1,0)*Drivers!$E$106*Drivers!$E$111+IF(32&gt;=Drivers!$E$110+Drivers!$E$108,1,0)*Drivers!$E$106*Drivers!$E$111</f>
        <v>50000</v>
      </c>
      <c r="AI9" s="21" t="n">
        <f aca="false">IF(33&gt;Drivers!$E$108,1,0)*Drivers!$E$106+IF(33&gt;=Drivers!$E$109+Drivers!$E$108,1,0)*Drivers!$E$106*Drivers!$E$111+IF(33&gt;=Drivers!$E$110+Drivers!$E$108,1,0)*Drivers!$E$106*Drivers!$E$111</f>
        <v>75000</v>
      </c>
      <c r="AJ9" s="21" t="n">
        <f aca="false">IF(34&gt;Drivers!$E$108,1,0)*Drivers!$E$106+IF(34&gt;=Drivers!$E$109+Drivers!$E$108,1,0)*Drivers!$E$106*Drivers!$E$111+IF(34&gt;=Drivers!$E$110+Drivers!$E$108,1,0)*Drivers!$E$106*Drivers!$E$111</f>
        <v>75000</v>
      </c>
      <c r="AK9" s="21" t="n">
        <f aca="false">IF(35&gt;Drivers!$E$108,1,0)*Drivers!$E$106+IF(35&gt;=Drivers!$E$109+Drivers!$E$108,1,0)*Drivers!$E$106*Drivers!$E$111+IF(35&gt;=Drivers!$E$110+Drivers!$E$108,1,0)*Drivers!$E$106*Drivers!$E$111</f>
        <v>75000</v>
      </c>
      <c r="AL9" s="21" t="n">
        <f aca="false">IF(36&gt;Drivers!$E$108,1,0)*Drivers!$E$106+IF(36&gt;=Drivers!$E$109+Drivers!$E$108,1,0)*Drivers!$E$106*Drivers!$E$111+IF(36&gt;=Drivers!$E$110+Drivers!$E$108,1,0)*Drivers!$E$106*Drivers!$E$111</f>
        <v>75000</v>
      </c>
    </row>
    <row r="10" customFormat="false" ht="15" hidden="false" customHeight="false" outlineLevel="0" collapsed="false">
      <c r="B10" s="8" t="s">
        <v>318</v>
      </c>
      <c r="C10" s="21" t="n">
        <f aca="false">C7*(Drivers!$E$105+Drivers!$E$107)</f>
        <v>7000</v>
      </c>
      <c r="D10" s="21" t="n">
        <f aca="false">D7*(Drivers!$E$105+Drivers!$E$107)</f>
        <v>7000</v>
      </c>
      <c r="E10" s="21" t="n">
        <f aca="false">E7*(Drivers!$E$105+Drivers!$E$107)</f>
        <v>7000</v>
      </c>
      <c r="F10" s="21" t="n">
        <f aca="false">F7*(Drivers!$E$105+Drivers!$E$107)</f>
        <v>7000</v>
      </c>
      <c r="G10" s="21" t="n">
        <f aca="false">G7*(Drivers!$E$105+Drivers!$E$107)</f>
        <v>7000</v>
      </c>
      <c r="H10" s="21" t="n">
        <f aca="false">H7*(Drivers!$E$105+Drivers!$E$107)</f>
        <v>7000</v>
      </c>
      <c r="I10" s="21" t="n">
        <f aca="false">I7*(Drivers!$E$105+Drivers!$E$107)</f>
        <v>7000</v>
      </c>
      <c r="J10" s="21" t="n">
        <f aca="false">J7*(Drivers!$E$105+Drivers!$E$107)</f>
        <v>7000</v>
      </c>
      <c r="K10" s="21" t="n">
        <f aca="false">K7*(Drivers!$E$105+Drivers!$E$107)</f>
        <v>7000</v>
      </c>
      <c r="L10" s="21" t="n">
        <f aca="false">L7*(Drivers!$E$105+Drivers!$E$107)</f>
        <v>7000</v>
      </c>
      <c r="M10" s="21" t="n">
        <f aca="false">M7*(Drivers!$E$105+Drivers!$E$107)</f>
        <v>7000</v>
      </c>
      <c r="N10" s="21" t="n">
        <f aca="false">N7*(Drivers!$E$105+Drivers!$E$107)</f>
        <v>7000</v>
      </c>
      <c r="O10" s="21" t="n">
        <f aca="false">O7*(Drivers!$E$105+Drivers!$E$107)</f>
        <v>7000</v>
      </c>
      <c r="P10" s="21" t="n">
        <f aca="false">P7*(Drivers!$E$105+Drivers!$E$107)</f>
        <v>7000</v>
      </c>
      <c r="Q10" s="21" t="n">
        <f aca="false">Q7*(Drivers!$E$105+Drivers!$E$107)</f>
        <v>7000</v>
      </c>
      <c r="R10" s="21" t="n">
        <f aca="false">R7*(Drivers!$E$105+Drivers!$E$107)</f>
        <v>14000</v>
      </c>
      <c r="S10" s="21" t="n">
        <f aca="false">S7*(Drivers!$E$105+Drivers!$E$107)</f>
        <v>14000</v>
      </c>
      <c r="T10" s="21" t="n">
        <f aca="false">T7*(Drivers!$E$105+Drivers!$E$107)</f>
        <v>14000</v>
      </c>
      <c r="U10" s="21" t="n">
        <f aca="false">U7*(Drivers!$E$105+Drivers!$E$107)</f>
        <v>14000</v>
      </c>
      <c r="V10" s="21" t="n">
        <f aca="false">V7*(Drivers!$E$105+Drivers!$E$107)</f>
        <v>14000</v>
      </c>
      <c r="W10" s="21" t="n">
        <f aca="false">W7*(Drivers!$E$105+Drivers!$E$107)</f>
        <v>14000</v>
      </c>
      <c r="X10" s="21" t="n">
        <f aca="false">X7*(Drivers!$E$105+Drivers!$E$107)</f>
        <v>14000</v>
      </c>
      <c r="Y10" s="21" t="n">
        <f aca="false">Y7*(Drivers!$E$105+Drivers!$E$107)</f>
        <v>14000</v>
      </c>
      <c r="Z10" s="21" t="n">
        <f aca="false">Z7*(Drivers!$E$105+Drivers!$E$107)</f>
        <v>14000</v>
      </c>
      <c r="AA10" s="21" t="n">
        <f aca="false">AA7*(Drivers!$E$105+Drivers!$E$107)</f>
        <v>14000</v>
      </c>
      <c r="AB10" s="21" t="n">
        <f aca="false">AB7*(Drivers!$E$105+Drivers!$E$107)</f>
        <v>14000</v>
      </c>
      <c r="AC10" s="21" t="n">
        <f aca="false">AC7*(Drivers!$E$105+Drivers!$E$107)</f>
        <v>21000</v>
      </c>
      <c r="AD10" s="21" t="n">
        <f aca="false">AD7*(Drivers!$E$105+Drivers!$E$107)</f>
        <v>21000</v>
      </c>
      <c r="AE10" s="21" t="n">
        <f aca="false">AE7*(Drivers!$E$105+Drivers!$E$107)</f>
        <v>21000</v>
      </c>
      <c r="AF10" s="21" t="n">
        <f aca="false">AF7*(Drivers!$E$105+Drivers!$E$107)</f>
        <v>21000</v>
      </c>
      <c r="AG10" s="21" t="n">
        <f aca="false">AG7*(Drivers!$E$105+Drivers!$E$107)</f>
        <v>21000</v>
      </c>
      <c r="AH10" s="21" t="n">
        <f aca="false">AH7*(Drivers!$E$105+Drivers!$E$107)</f>
        <v>21000</v>
      </c>
      <c r="AI10" s="21" t="n">
        <f aca="false">AI7*(Drivers!$E$105+Drivers!$E$107)</f>
        <v>21000</v>
      </c>
      <c r="AJ10" s="21" t="n">
        <f aca="false">AJ7*(Drivers!$E$105+Drivers!$E$107)</f>
        <v>21000</v>
      </c>
      <c r="AK10" s="21" t="n">
        <f aca="false">AK7*(Drivers!$E$105+Drivers!$E$107)</f>
        <v>21000</v>
      </c>
      <c r="AL10" s="21" t="n">
        <f aca="false">AL7*(Drivers!$E$105+Drivers!$E$107)</f>
        <v>21000</v>
      </c>
    </row>
    <row r="11" customFormat="false" ht="15" hidden="false" customHeight="false" outlineLevel="0" collapsed="false">
      <c r="B11" s="8" t="s">
        <v>319</v>
      </c>
      <c r="C11" s="12" t="n">
        <f aca="false">Drivers!$E$112</f>
        <v>5000</v>
      </c>
      <c r="D11" s="12" t="n">
        <f aca="false">Drivers!$E$112</f>
        <v>5000</v>
      </c>
      <c r="E11" s="12" t="n">
        <f aca="false">Drivers!$E$112</f>
        <v>5000</v>
      </c>
      <c r="F11" s="12" t="n">
        <f aca="false">Drivers!$E$112</f>
        <v>5000</v>
      </c>
      <c r="G11" s="12" t="n">
        <f aca="false">Drivers!$E$112</f>
        <v>5000</v>
      </c>
      <c r="H11" s="12" t="n">
        <f aca="false">Drivers!$E$112</f>
        <v>5000</v>
      </c>
      <c r="I11" s="12" t="n">
        <f aca="false">Drivers!$E$112</f>
        <v>5000</v>
      </c>
      <c r="J11" s="12" t="n">
        <f aca="false">Drivers!$E$112</f>
        <v>5000</v>
      </c>
      <c r="K11" s="12" t="n">
        <f aca="false">Drivers!$E$112</f>
        <v>5000</v>
      </c>
      <c r="L11" s="12" t="n">
        <f aca="false">Drivers!$E$112</f>
        <v>5000</v>
      </c>
      <c r="M11" s="12" t="n">
        <f aca="false">Drivers!$E$112</f>
        <v>5000</v>
      </c>
      <c r="N11" s="12" t="n">
        <f aca="false">Drivers!$E$112</f>
        <v>5000</v>
      </c>
      <c r="O11" s="12" t="n">
        <f aca="false">Drivers!$E$112</f>
        <v>5000</v>
      </c>
      <c r="P11" s="12" t="n">
        <f aca="false">Drivers!$E$112</f>
        <v>5000</v>
      </c>
      <c r="Q11" s="12" t="n">
        <f aca="false">Drivers!$E$112</f>
        <v>5000</v>
      </c>
      <c r="R11" s="12" t="n">
        <f aca="false">Drivers!$E$112</f>
        <v>5000</v>
      </c>
      <c r="S11" s="12" t="n">
        <f aca="false">Drivers!$E$112</f>
        <v>5000</v>
      </c>
      <c r="T11" s="12" t="n">
        <f aca="false">Drivers!$E$112</f>
        <v>5000</v>
      </c>
      <c r="U11" s="12" t="n">
        <f aca="false">Drivers!$E$112</f>
        <v>5000</v>
      </c>
      <c r="V11" s="12" t="n">
        <f aca="false">Drivers!$E$112</f>
        <v>5000</v>
      </c>
      <c r="W11" s="12" t="n">
        <f aca="false">Drivers!$E$112</f>
        <v>5000</v>
      </c>
      <c r="X11" s="12" t="n">
        <f aca="false">Drivers!$E$112</f>
        <v>5000</v>
      </c>
      <c r="Y11" s="12" t="n">
        <f aca="false">Drivers!$E$112</f>
        <v>5000</v>
      </c>
      <c r="Z11" s="12" t="n">
        <f aca="false">Drivers!$E$112</f>
        <v>5000</v>
      </c>
      <c r="AA11" s="12" t="n">
        <f aca="false">Drivers!$E$112</f>
        <v>5000</v>
      </c>
      <c r="AB11" s="12" t="n">
        <f aca="false">Drivers!$E$112</f>
        <v>5000</v>
      </c>
      <c r="AC11" s="12" t="n">
        <f aca="false">Drivers!$E$112</f>
        <v>5000</v>
      </c>
      <c r="AD11" s="12" t="n">
        <f aca="false">Drivers!$E$112</f>
        <v>5000</v>
      </c>
      <c r="AE11" s="12" t="n">
        <f aca="false">Drivers!$E$112</f>
        <v>5000</v>
      </c>
      <c r="AF11" s="12" t="n">
        <f aca="false">Drivers!$E$112</f>
        <v>5000</v>
      </c>
      <c r="AG11" s="12" t="n">
        <f aca="false">Drivers!$E$112</f>
        <v>5000</v>
      </c>
      <c r="AH11" s="12" t="n">
        <f aca="false">Drivers!$E$112</f>
        <v>5000</v>
      </c>
      <c r="AI11" s="12" t="n">
        <f aca="false">Drivers!$E$112</f>
        <v>5000</v>
      </c>
      <c r="AJ11" s="12" t="n">
        <f aca="false">Drivers!$E$112</f>
        <v>5000</v>
      </c>
      <c r="AK11" s="12" t="n">
        <f aca="false">Drivers!$E$112</f>
        <v>5000</v>
      </c>
      <c r="AL11" s="12" t="n">
        <f aca="false">Drivers!$E$112</f>
        <v>5000</v>
      </c>
    </row>
    <row r="12" customFormat="false" ht="15" hidden="false" customHeight="false" outlineLevel="0" collapsed="false">
      <c r="B12" s="8" t="s">
        <v>320</v>
      </c>
      <c r="C12" s="21" t="n">
        <f aca="false">Drivers!$E$113*(1+0.4*(C7-1))</f>
        <v>8300</v>
      </c>
      <c r="D12" s="21" t="n">
        <f aca="false">Drivers!$E$113*(1+0.4*(D7-1))</f>
        <v>8300</v>
      </c>
      <c r="E12" s="21" t="n">
        <f aca="false">Drivers!$E$113*(1+0.4*(E7-1))</f>
        <v>8300</v>
      </c>
      <c r="F12" s="21" t="n">
        <f aca="false">Drivers!$E$113*(1+0.4*(F7-1))</f>
        <v>8300</v>
      </c>
      <c r="G12" s="21" t="n">
        <f aca="false">Drivers!$E$113*(1+0.4*(G7-1))</f>
        <v>8300</v>
      </c>
      <c r="H12" s="21" t="n">
        <f aca="false">Drivers!$E$113*(1+0.4*(H7-1))</f>
        <v>8300</v>
      </c>
      <c r="I12" s="21" t="n">
        <f aca="false">Drivers!$E$113*(1+0.4*(I7-1))</f>
        <v>8300</v>
      </c>
      <c r="J12" s="21" t="n">
        <f aca="false">Drivers!$E$113*(1+0.4*(J7-1))</f>
        <v>8300</v>
      </c>
      <c r="K12" s="21" t="n">
        <f aca="false">Drivers!$E$113*(1+0.4*(K7-1))</f>
        <v>8300</v>
      </c>
      <c r="L12" s="21" t="n">
        <f aca="false">Drivers!$E$113*(1+0.4*(L7-1))</f>
        <v>8300</v>
      </c>
      <c r="M12" s="21" t="n">
        <f aca="false">Drivers!$E$113*(1+0.4*(M7-1))</f>
        <v>8300</v>
      </c>
      <c r="N12" s="21" t="n">
        <f aca="false">Drivers!$E$113*(1+0.4*(N7-1))</f>
        <v>8300</v>
      </c>
      <c r="O12" s="21" t="n">
        <f aca="false">Drivers!$E$113*(1+0.4*(O7-1))</f>
        <v>8300</v>
      </c>
      <c r="P12" s="21" t="n">
        <f aca="false">Drivers!$E$113*(1+0.4*(P7-1))</f>
        <v>8300</v>
      </c>
      <c r="Q12" s="21" t="n">
        <f aca="false">Drivers!$E$113*(1+0.4*(Q7-1))</f>
        <v>8300</v>
      </c>
      <c r="R12" s="21" t="n">
        <f aca="false">Drivers!$E$113*(1+0.4*(R7-1))</f>
        <v>11620</v>
      </c>
      <c r="S12" s="21" t="n">
        <f aca="false">Drivers!$E$113*(1+0.4*(S7-1))</f>
        <v>11620</v>
      </c>
      <c r="T12" s="21" t="n">
        <f aca="false">Drivers!$E$113*(1+0.4*(T7-1))</f>
        <v>11620</v>
      </c>
      <c r="U12" s="21" t="n">
        <f aca="false">Drivers!$E$113*(1+0.4*(U7-1))</f>
        <v>11620</v>
      </c>
      <c r="V12" s="21" t="n">
        <f aca="false">Drivers!$E$113*(1+0.4*(V7-1))</f>
        <v>11620</v>
      </c>
      <c r="W12" s="21" t="n">
        <f aca="false">Drivers!$E$113*(1+0.4*(W7-1))</f>
        <v>11620</v>
      </c>
      <c r="X12" s="21" t="n">
        <f aca="false">Drivers!$E$113*(1+0.4*(X7-1))</f>
        <v>11620</v>
      </c>
      <c r="Y12" s="21" t="n">
        <f aca="false">Drivers!$E$113*(1+0.4*(Y7-1))</f>
        <v>11620</v>
      </c>
      <c r="Z12" s="21" t="n">
        <f aca="false">Drivers!$E$113*(1+0.4*(Z7-1))</f>
        <v>11620</v>
      </c>
      <c r="AA12" s="21" t="n">
        <f aca="false">Drivers!$E$113*(1+0.4*(AA7-1))</f>
        <v>11620</v>
      </c>
      <c r="AB12" s="21" t="n">
        <f aca="false">Drivers!$E$113*(1+0.4*(AB7-1))</f>
        <v>11620</v>
      </c>
      <c r="AC12" s="21" t="n">
        <f aca="false">Drivers!$E$113*(1+0.4*(AC7-1))</f>
        <v>14940</v>
      </c>
      <c r="AD12" s="21" t="n">
        <f aca="false">Drivers!$E$113*(1+0.4*(AD7-1))</f>
        <v>14940</v>
      </c>
      <c r="AE12" s="21" t="n">
        <f aca="false">Drivers!$E$113*(1+0.4*(AE7-1))</f>
        <v>14940</v>
      </c>
      <c r="AF12" s="21" t="n">
        <f aca="false">Drivers!$E$113*(1+0.4*(AF7-1))</f>
        <v>14940</v>
      </c>
      <c r="AG12" s="21" t="n">
        <f aca="false">Drivers!$E$113*(1+0.4*(AG7-1))</f>
        <v>14940</v>
      </c>
      <c r="AH12" s="21" t="n">
        <f aca="false">Drivers!$E$113*(1+0.4*(AH7-1))</f>
        <v>14940</v>
      </c>
      <c r="AI12" s="21" t="n">
        <f aca="false">Drivers!$E$113*(1+0.4*(AI7-1))</f>
        <v>14940</v>
      </c>
      <c r="AJ12" s="21" t="n">
        <f aca="false">Drivers!$E$113*(1+0.4*(AJ7-1))</f>
        <v>14940</v>
      </c>
      <c r="AK12" s="21" t="n">
        <f aca="false">Drivers!$E$113*(1+0.4*(AK7-1))</f>
        <v>14940</v>
      </c>
      <c r="AL12" s="21" t="n">
        <f aca="false">Drivers!$E$113*(1+0.4*(AL7-1))</f>
        <v>14940</v>
      </c>
    </row>
    <row r="13" customFormat="false" ht="15" hidden="false" customHeight="false" outlineLevel="0" collapsed="false">
      <c r="B13" s="8" t="s">
        <v>321</v>
      </c>
      <c r="C13" s="21" t="n">
        <f aca="false">Drivers!$E$114*C7</f>
        <v>3500</v>
      </c>
      <c r="D13" s="21" t="n">
        <f aca="false">Drivers!$E$114*D7</f>
        <v>3500</v>
      </c>
      <c r="E13" s="21" t="n">
        <f aca="false">Drivers!$E$114*E7</f>
        <v>3500</v>
      </c>
      <c r="F13" s="21" t="n">
        <f aca="false">Drivers!$E$114*F7</f>
        <v>3500</v>
      </c>
      <c r="G13" s="21" t="n">
        <f aca="false">Drivers!$E$114*G7</f>
        <v>3500</v>
      </c>
      <c r="H13" s="21" t="n">
        <f aca="false">Drivers!$E$114*H7</f>
        <v>3500</v>
      </c>
      <c r="I13" s="21" t="n">
        <f aca="false">Drivers!$E$114*I7</f>
        <v>3500</v>
      </c>
      <c r="J13" s="21" t="n">
        <f aca="false">Drivers!$E$114*J7</f>
        <v>3500</v>
      </c>
      <c r="K13" s="21" t="n">
        <f aca="false">Drivers!$E$114*K7</f>
        <v>3500</v>
      </c>
      <c r="L13" s="21" t="n">
        <f aca="false">Drivers!$E$114*L7</f>
        <v>3500</v>
      </c>
      <c r="M13" s="21" t="n">
        <f aca="false">Drivers!$E$114*M7</f>
        <v>3500</v>
      </c>
      <c r="N13" s="21" t="n">
        <f aca="false">Drivers!$E$114*N7</f>
        <v>3500</v>
      </c>
      <c r="O13" s="21" t="n">
        <f aca="false">Drivers!$E$114*O7</f>
        <v>3500</v>
      </c>
      <c r="P13" s="21" t="n">
        <f aca="false">Drivers!$E$114*P7</f>
        <v>3500</v>
      </c>
      <c r="Q13" s="21" t="n">
        <f aca="false">Drivers!$E$114*Q7</f>
        <v>3500</v>
      </c>
      <c r="R13" s="21" t="n">
        <f aca="false">Drivers!$E$114*R7</f>
        <v>7000</v>
      </c>
      <c r="S13" s="21" t="n">
        <f aca="false">Drivers!$E$114*S7</f>
        <v>7000</v>
      </c>
      <c r="T13" s="21" t="n">
        <f aca="false">Drivers!$E$114*T7</f>
        <v>7000</v>
      </c>
      <c r="U13" s="21" t="n">
        <f aca="false">Drivers!$E$114*U7</f>
        <v>7000</v>
      </c>
      <c r="V13" s="21" t="n">
        <f aca="false">Drivers!$E$114*V7</f>
        <v>7000</v>
      </c>
      <c r="W13" s="21" t="n">
        <f aca="false">Drivers!$E$114*W7</f>
        <v>7000</v>
      </c>
      <c r="X13" s="21" t="n">
        <f aca="false">Drivers!$E$114*X7</f>
        <v>7000</v>
      </c>
      <c r="Y13" s="21" t="n">
        <f aca="false">Drivers!$E$114*Y7</f>
        <v>7000</v>
      </c>
      <c r="Z13" s="21" t="n">
        <f aca="false">Drivers!$E$114*Z7</f>
        <v>7000</v>
      </c>
      <c r="AA13" s="21" t="n">
        <f aca="false">Drivers!$E$114*AA7</f>
        <v>7000</v>
      </c>
      <c r="AB13" s="21" t="n">
        <f aca="false">Drivers!$E$114*AB7</f>
        <v>7000</v>
      </c>
      <c r="AC13" s="21" t="n">
        <f aca="false">Drivers!$E$114*AC7</f>
        <v>10500</v>
      </c>
      <c r="AD13" s="21" t="n">
        <f aca="false">Drivers!$E$114*AD7</f>
        <v>10500</v>
      </c>
      <c r="AE13" s="21" t="n">
        <f aca="false">Drivers!$E$114*AE7</f>
        <v>10500</v>
      </c>
      <c r="AF13" s="21" t="n">
        <f aca="false">Drivers!$E$114*AF7</f>
        <v>10500</v>
      </c>
      <c r="AG13" s="21" t="n">
        <f aca="false">Drivers!$E$114*AG7</f>
        <v>10500</v>
      </c>
      <c r="AH13" s="21" t="n">
        <f aca="false">Drivers!$E$114*AH7</f>
        <v>10500</v>
      </c>
      <c r="AI13" s="21" t="n">
        <f aca="false">Drivers!$E$114*AI7</f>
        <v>10500</v>
      </c>
      <c r="AJ13" s="21" t="n">
        <f aca="false">Drivers!$E$114*AJ7</f>
        <v>10500</v>
      </c>
      <c r="AK13" s="21" t="n">
        <f aca="false">Drivers!$E$114*AK7</f>
        <v>10500</v>
      </c>
      <c r="AL13" s="21" t="n">
        <f aca="false">Drivers!$E$114*AL7</f>
        <v>10500</v>
      </c>
    </row>
    <row r="14" customFormat="false" ht="15" hidden="false" customHeight="false" outlineLevel="0" collapsed="false">
      <c r="B14" s="8" t="s">
        <v>322</v>
      </c>
      <c r="C14" s="21" t="n">
        <f aca="false">IF(1&lt;=12,Drivers!$E$115,Revenue!C21*Drivers!$E$116)</f>
        <v>20000</v>
      </c>
      <c r="D14" s="21" t="n">
        <f aca="false">IF(2&lt;=12,Drivers!$E$115,Revenue!D21*Drivers!$E$116)</f>
        <v>20000</v>
      </c>
      <c r="E14" s="21" t="n">
        <f aca="false">IF(3&lt;=12,Drivers!$E$115,Revenue!E21*Drivers!$E$116)</f>
        <v>20000</v>
      </c>
      <c r="F14" s="21" t="n">
        <f aca="false">IF(4&lt;=12,Drivers!$E$115,Revenue!F21*Drivers!$E$116)</f>
        <v>20000</v>
      </c>
      <c r="G14" s="21" t="n">
        <f aca="false">IF(5&lt;=12,Drivers!$E$115,Revenue!G21*Drivers!$E$116)</f>
        <v>20000</v>
      </c>
      <c r="H14" s="21" t="n">
        <f aca="false">IF(6&lt;=12,Drivers!$E$115,Revenue!H21*Drivers!$E$116)</f>
        <v>20000</v>
      </c>
      <c r="I14" s="21" t="n">
        <f aca="false">IF(7&lt;=12,Drivers!$E$115,Revenue!I21*Drivers!$E$116)</f>
        <v>20000</v>
      </c>
      <c r="J14" s="21" t="n">
        <f aca="false">IF(8&lt;=12,Drivers!$E$115,Revenue!J21*Drivers!$E$116)</f>
        <v>20000</v>
      </c>
      <c r="K14" s="21" t="n">
        <f aca="false">IF(9&lt;=12,Drivers!$E$115,Revenue!K21*Drivers!$E$116)</f>
        <v>20000</v>
      </c>
      <c r="L14" s="21" t="n">
        <f aca="false">IF(10&lt;=12,Drivers!$E$115,Revenue!L21*Drivers!$E$116)</f>
        <v>20000</v>
      </c>
      <c r="M14" s="21" t="n">
        <f aca="false">IF(11&lt;=12,Drivers!$E$115,Revenue!M21*Drivers!$E$116)</f>
        <v>20000</v>
      </c>
      <c r="N14" s="21" t="n">
        <f aca="false">IF(12&lt;=12,Drivers!$E$115,Revenue!N21*Drivers!$E$116)</f>
        <v>20000</v>
      </c>
      <c r="O14" s="21" t="n">
        <f aca="false">IF(13&lt;=12,Drivers!$E$115,Revenue!O21*Drivers!$E$116)</f>
        <v>29725.0256758361</v>
      </c>
      <c r="P14" s="21" t="n">
        <f aca="false">IF(14&lt;=12,Drivers!$E$115,Revenue!P21*Drivers!$E$116)</f>
        <v>32952.4796769149</v>
      </c>
      <c r="Q14" s="21" t="n">
        <f aca="false">IF(15&lt;=12,Drivers!$E$115,Revenue!Q21*Drivers!$E$116)</f>
        <v>36179.9336779936</v>
      </c>
      <c r="R14" s="21" t="n">
        <f aca="false">IF(16&lt;=12,Drivers!$E$115,Revenue!R21*Drivers!$E$116)</f>
        <v>39407.3876790724</v>
      </c>
      <c r="S14" s="21" t="n">
        <f aca="false">IF(17&lt;=12,Drivers!$E$115,Revenue!S21*Drivers!$E$116)</f>
        <v>42634.8416801511</v>
      </c>
      <c r="T14" s="21" t="n">
        <f aca="false">IF(18&lt;=12,Drivers!$E$115,Revenue!T21*Drivers!$E$116)</f>
        <v>45862.2956812299</v>
      </c>
      <c r="U14" s="21" t="n">
        <f aca="false">IF(19&lt;=12,Drivers!$E$115,Revenue!U21*Drivers!$E$116)</f>
        <v>49089.7496823086</v>
      </c>
      <c r="V14" s="21" t="n">
        <f aca="false">IF(20&lt;=12,Drivers!$E$115,Revenue!V21*Drivers!$E$116)</f>
        <v>52317.2036833874</v>
      </c>
      <c r="W14" s="21" t="n">
        <f aca="false">IF(21&lt;=12,Drivers!$E$115,Revenue!W21*Drivers!$E$116)</f>
        <v>55544.6576844662</v>
      </c>
      <c r="X14" s="21" t="n">
        <f aca="false">IF(22&lt;=12,Drivers!$E$115,Revenue!X21*Drivers!$E$116)</f>
        <v>58772.1116855449</v>
      </c>
      <c r="Y14" s="21" t="n">
        <f aca="false">IF(23&lt;=12,Drivers!$E$115,Revenue!Y21*Drivers!$E$116)</f>
        <v>61999.5656866237</v>
      </c>
      <c r="Z14" s="21" t="n">
        <f aca="false">IF(24&lt;=12,Drivers!$E$115,Revenue!Z21*Drivers!$E$116)</f>
        <v>65227.0196877024</v>
      </c>
      <c r="AA14" s="21" t="n">
        <f aca="false">IF(25&lt;=12,Drivers!$E$115,Revenue!AA21*Drivers!$E$116)</f>
        <v>71578.9028002519</v>
      </c>
      <c r="AB14" s="21" t="n">
        <f aca="false">IF(26&lt;=12,Drivers!$E$115,Revenue!AB21*Drivers!$E$116)</f>
        <v>76888.5483576054</v>
      </c>
      <c r="AC14" s="21" t="n">
        <f aca="false">IF(27&lt;=12,Drivers!$E$115,Revenue!AC21*Drivers!$E$116)</f>
        <v>82198.1939149589</v>
      </c>
      <c r="AD14" s="21" t="n">
        <f aca="false">IF(28&lt;=12,Drivers!$E$115,Revenue!AD21*Drivers!$E$116)</f>
        <v>87507.8394723123</v>
      </c>
      <c r="AE14" s="21" t="n">
        <f aca="false">IF(29&lt;=12,Drivers!$E$115,Revenue!AE21*Drivers!$E$116)</f>
        <v>92817.4850296658</v>
      </c>
      <c r="AF14" s="21" t="n">
        <f aca="false">IF(30&lt;=12,Drivers!$E$115,Revenue!AF21*Drivers!$E$116)</f>
        <v>98127.1305870193</v>
      </c>
      <c r="AG14" s="21" t="n">
        <f aca="false">IF(31&lt;=12,Drivers!$E$115,Revenue!AG21*Drivers!$E$116)</f>
        <v>103436.776144373</v>
      </c>
      <c r="AH14" s="21" t="n">
        <f aca="false">IF(32&lt;=12,Drivers!$E$115,Revenue!AH21*Drivers!$E$116)</f>
        <v>108746.421701726</v>
      </c>
      <c r="AI14" s="21" t="n">
        <f aca="false">IF(33&lt;=12,Drivers!$E$115,Revenue!AI21*Drivers!$E$116)</f>
        <v>114056.06725908</v>
      </c>
      <c r="AJ14" s="21" t="n">
        <f aca="false">IF(34&lt;=12,Drivers!$E$115,Revenue!AJ21*Drivers!$E$116)</f>
        <v>119365.712816433</v>
      </c>
      <c r="AK14" s="21" t="n">
        <f aca="false">IF(35&lt;=12,Drivers!$E$115,Revenue!AK21*Drivers!$E$116)</f>
        <v>124675.358373787</v>
      </c>
      <c r="AL14" s="21" t="n">
        <f aca="false">IF(36&lt;=12,Drivers!$E$115,Revenue!AL21*Drivers!$E$116)</f>
        <v>129985.00393114</v>
      </c>
    </row>
    <row r="16" customFormat="false" ht="15" hidden="false" customHeight="false" outlineLevel="0" collapsed="false">
      <c r="B16" s="10" t="s">
        <v>323</v>
      </c>
      <c r="C16" s="30" t="n">
        <f aca="false">SUM(C8:C14)</f>
        <v>43800</v>
      </c>
      <c r="D16" s="30" t="n">
        <f aca="false">SUM(D8:D14)</f>
        <v>43800</v>
      </c>
      <c r="E16" s="30" t="n">
        <f aca="false">SUM(E8:E14)</f>
        <v>43800</v>
      </c>
      <c r="F16" s="30" t="n">
        <f aca="false">SUM(F8:F14)</f>
        <v>43800</v>
      </c>
      <c r="G16" s="30" t="n">
        <f aca="false">SUM(G8:G14)</f>
        <v>43800</v>
      </c>
      <c r="H16" s="30" t="n">
        <f aca="false">SUM(H8:H14)</f>
        <v>43800</v>
      </c>
      <c r="I16" s="30" t="n">
        <f aca="false">SUM(I8:I14)</f>
        <v>103800</v>
      </c>
      <c r="J16" s="30" t="n">
        <f aca="false">SUM(J8:J14)</f>
        <v>103800</v>
      </c>
      <c r="K16" s="30" t="n">
        <f aca="false">SUM(K8:K14)</f>
        <v>103800</v>
      </c>
      <c r="L16" s="30" t="n">
        <f aca="false">SUM(L8:L14)</f>
        <v>103800</v>
      </c>
      <c r="M16" s="30" t="n">
        <f aca="false">SUM(M8:M14)</f>
        <v>103800</v>
      </c>
      <c r="N16" s="30" t="n">
        <f aca="false">SUM(N8:N14)</f>
        <v>103800</v>
      </c>
      <c r="O16" s="30" t="n">
        <f aca="false">SUM(O8:O14)</f>
        <v>113525.025675836</v>
      </c>
      <c r="P16" s="30" t="n">
        <f aca="false">SUM(P8:P14)</f>
        <v>116752.479676915</v>
      </c>
      <c r="Q16" s="30" t="n">
        <f aca="false">SUM(Q8:Q14)</f>
        <v>119979.933677994</v>
      </c>
      <c r="R16" s="30" t="n">
        <f aca="false">SUM(R8:R14)</f>
        <v>137027.387679072</v>
      </c>
      <c r="S16" s="30" t="n">
        <f aca="false">SUM(S8:S14)</f>
        <v>140254.841680151</v>
      </c>
      <c r="T16" s="30" t="n">
        <f aca="false">SUM(T8:T14)</f>
        <v>143482.29568123</v>
      </c>
      <c r="U16" s="30" t="n">
        <f aca="false">SUM(U8:U14)</f>
        <v>146709.749682309</v>
      </c>
      <c r="V16" s="30" t="n">
        <f aca="false">SUM(V8:V14)</f>
        <v>149937.203683387</v>
      </c>
      <c r="W16" s="30" t="n">
        <f aca="false">SUM(W8:W14)</f>
        <v>153164.657684466</v>
      </c>
      <c r="X16" s="30" t="n">
        <f aca="false">SUM(X8:X14)</f>
        <v>216392.111685545</v>
      </c>
      <c r="Y16" s="30" t="n">
        <f aca="false">SUM(Y8:Y14)</f>
        <v>219619.565686624</v>
      </c>
      <c r="Z16" s="30" t="n">
        <f aca="false">SUM(Z8:Z14)</f>
        <v>222847.019687702</v>
      </c>
      <c r="AA16" s="30" t="n">
        <f aca="false">SUM(AA8:AA14)</f>
        <v>229198.902800252</v>
      </c>
      <c r="AB16" s="30" t="n">
        <f aca="false">SUM(AB8:AB14)</f>
        <v>234508.548357605</v>
      </c>
      <c r="AC16" s="30" t="n">
        <f aca="false">SUM(AC8:AC14)</f>
        <v>253638.193914959</v>
      </c>
      <c r="AD16" s="30" t="n">
        <f aca="false">SUM(AD8:AD14)</f>
        <v>258947.839472312</v>
      </c>
      <c r="AE16" s="30" t="n">
        <f aca="false">SUM(AE8:AE14)</f>
        <v>264257.485029666</v>
      </c>
      <c r="AF16" s="30" t="n">
        <f aca="false">SUM(AF8:AF14)</f>
        <v>269567.130587019</v>
      </c>
      <c r="AG16" s="30" t="n">
        <f aca="false">SUM(AG8:AG14)</f>
        <v>274876.776144373</v>
      </c>
      <c r="AH16" s="30" t="n">
        <f aca="false">SUM(AH8:AH14)</f>
        <v>280186.421701726</v>
      </c>
      <c r="AI16" s="30" t="n">
        <f aca="false">SUM(AI8:AI14)</f>
        <v>345496.06725908</v>
      </c>
      <c r="AJ16" s="30" t="n">
        <f aca="false">SUM(AJ8:AJ14)</f>
        <v>350805.712816433</v>
      </c>
      <c r="AK16" s="30" t="n">
        <f aca="false">SUM(AK8:AK14)</f>
        <v>356115.358373787</v>
      </c>
      <c r="AL16" s="30" t="n">
        <f aca="false">SUM(AL8:AL14)</f>
        <v>361425.00393114</v>
      </c>
    </row>
    <row r="17" customFormat="false" ht="15" hidden="false" customHeight="false" outlineLevel="0" collapsed="false">
      <c r="B17" s="10" t="s">
        <v>324</v>
      </c>
      <c r="C17" s="30" t="n">
        <f aca="false">C16+Headcount!C16</f>
        <v>165698.333333333</v>
      </c>
      <c r="D17" s="30" t="n">
        <f aca="false">D16+Headcount!D16</f>
        <v>165698.333333333</v>
      </c>
      <c r="E17" s="30" t="n">
        <f aca="false">E16+Headcount!E16</f>
        <v>165698.333333333</v>
      </c>
      <c r="F17" s="30" t="n">
        <f aca="false">F16+Headcount!F16</f>
        <v>165698.333333333</v>
      </c>
      <c r="G17" s="30" t="n">
        <f aca="false">G16+Headcount!G16</f>
        <v>165698.333333333</v>
      </c>
      <c r="H17" s="30" t="n">
        <f aca="false">H16+Headcount!H16</f>
        <v>165698.333333333</v>
      </c>
      <c r="I17" s="30" t="n">
        <f aca="false">I16+Headcount!I16</f>
        <v>225698.333333333</v>
      </c>
      <c r="J17" s="30" t="n">
        <f aca="false">J16+Headcount!J16</f>
        <v>225698.333333333</v>
      </c>
      <c r="K17" s="30" t="n">
        <f aca="false">K16+Headcount!K16</f>
        <v>225698.333333333</v>
      </c>
      <c r="L17" s="30" t="n">
        <f aca="false">L16+Headcount!L16</f>
        <v>225698.333333333</v>
      </c>
      <c r="M17" s="30" t="n">
        <f aca="false">M16+Headcount!M16</f>
        <v>225698.333333333</v>
      </c>
      <c r="N17" s="30" t="n">
        <f aca="false">N16+Headcount!N16</f>
        <v>225698.333333333</v>
      </c>
      <c r="O17" s="30" t="n">
        <f aca="false">O16+Headcount!O16</f>
        <v>239269.747898058</v>
      </c>
      <c r="P17" s="30" t="n">
        <f aca="false">P16+Headcount!P16</f>
        <v>246343.590788026</v>
      </c>
      <c r="Q17" s="30" t="n">
        <f aca="false">Q16+Headcount!Q16</f>
        <v>253417.433677994</v>
      </c>
      <c r="R17" s="30" t="n">
        <f aca="false">R16+Headcount!R16</f>
        <v>274311.276567961</v>
      </c>
      <c r="S17" s="30" t="n">
        <f aca="false">S16+Headcount!S16</f>
        <v>281385.119457929</v>
      </c>
      <c r="T17" s="30" t="n">
        <f aca="false">T16+Headcount!T16</f>
        <v>288458.962347897</v>
      </c>
      <c r="U17" s="30" t="n">
        <f aca="false">U16+Headcount!U16</f>
        <v>295532.805237864</v>
      </c>
      <c r="V17" s="30" t="n">
        <f aca="false">V16+Headcount!V16</f>
        <v>302606.648127832</v>
      </c>
      <c r="W17" s="30" t="n">
        <f aca="false">W16+Headcount!W16</f>
        <v>309680.4910178</v>
      </c>
      <c r="X17" s="30" t="n">
        <f aca="false">X16+Headcount!X16</f>
        <v>376754.333907767</v>
      </c>
      <c r="Y17" s="30" t="n">
        <f aca="false">Y16+Headcount!Y16</f>
        <v>383828.176797735</v>
      </c>
      <c r="Z17" s="30" t="n">
        <f aca="false">Z16+Headcount!Z16</f>
        <v>390902.019687702</v>
      </c>
      <c r="AA17" s="30" t="n">
        <f aca="false">AA16+Headcount!AA16</f>
        <v>401735.708355807</v>
      </c>
      <c r="AB17" s="30" t="n">
        <f aca="false">AB16+Headcount!AB16</f>
        <v>411527.159468717</v>
      </c>
      <c r="AC17" s="30" t="n">
        <f aca="false">AC16+Headcount!AC16</f>
        <v>435138.610581626</v>
      </c>
      <c r="AD17" s="30" t="n">
        <f aca="false">AD16+Headcount!AD16</f>
        <v>444930.061694535</v>
      </c>
      <c r="AE17" s="30" t="n">
        <f aca="false">AE16+Headcount!AE16</f>
        <v>454721.512807444</v>
      </c>
      <c r="AF17" s="30" t="n">
        <f aca="false">AF16+Headcount!AF16</f>
        <v>464512.963920353</v>
      </c>
      <c r="AG17" s="30" t="n">
        <f aca="false">AG16+Headcount!AG16</f>
        <v>474304.415033262</v>
      </c>
      <c r="AH17" s="30" t="n">
        <f aca="false">AH16+Headcount!AH16</f>
        <v>484095.866146171</v>
      </c>
      <c r="AI17" s="30" t="n">
        <f aca="false">AI16+Headcount!AI16</f>
        <v>553887.31725908</v>
      </c>
      <c r="AJ17" s="30" t="n">
        <f aca="false">AJ16+Headcount!AJ16</f>
        <v>563678.768371989</v>
      </c>
      <c r="AK17" s="30" t="n">
        <f aca="false">AK16+Headcount!AK16</f>
        <v>573470.219484898</v>
      </c>
      <c r="AL17" s="30" t="n">
        <f aca="false">AL16+Headcount!AL16</f>
        <v>583261.670597807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8" min="3" style="0" width="11"/>
  </cols>
  <sheetData>
    <row r="2" customFormat="false" ht="22.05" hidden="false" customHeight="false" outlineLevel="0" collapsed="false">
      <c r="B2" s="1" t="s">
        <v>325</v>
      </c>
    </row>
    <row r="3" customFormat="false" ht="32.8" hidden="false" customHeight="false" outlineLevel="0" collapsed="false">
      <c r="B3" s="16" t="s">
        <v>326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8" t="s">
        <v>327</v>
      </c>
      <c r="C7" s="21" t="n">
        <f aca="false">(Drivers!$E$119-Drivers!$E$120)+Drivers!$E$121+Drivers!$E$122+Drivers!$E$123+Drivers!$E$124+Drivers!$E$125+Drivers!$E$126+Drivers!$E$127+Drivers!$E$128</f>
        <v>1775000</v>
      </c>
      <c r="D7" s="31" t="n">
        <v>0</v>
      </c>
      <c r="E7" s="31" t="n">
        <v>0</v>
      </c>
      <c r="F7" s="31" t="n">
        <v>0</v>
      </c>
      <c r="G7" s="31" t="n">
        <v>0</v>
      </c>
      <c r="H7" s="31" t="n">
        <v>0</v>
      </c>
      <c r="I7" s="31" t="n">
        <v>0</v>
      </c>
      <c r="J7" s="31" t="n">
        <v>0</v>
      </c>
      <c r="K7" s="31" t="n">
        <v>0</v>
      </c>
      <c r="L7" s="31" t="n">
        <v>0</v>
      </c>
      <c r="M7" s="31" t="n">
        <v>0</v>
      </c>
      <c r="N7" s="31" t="n">
        <v>0</v>
      </c>
      <c r="O7" s="31" t="n">
        <v>0</v>
      </c>
      <c r="P7" s="31" t="n">
        <v>0</v>
      </c>
      <c r="Q7" s="31" t="n">
        <v>0</v>
      </c>
      <c r="R7" s="31" t="n">
        <v>0</v>
      </c>
      <c r="S7" s="31" t="n">
        <v>0</v>
      </c>
      <c r="T7" s="31" t="n">
        <v>0</v>
      </c>
      <c r="U7" s="31" t="n">
        <v>0</v>
      </c>
      <c r="V7" s="31" t="n">
        <v>0</v>
      </c>
      <c r="W7" s="31" t="n">
        <v>0</v>
      </c>
      <c r="X7" s="31" t="n">
        <v>0</v>
      </c>
      <c r="Y7" s="31" t="n">
        <v>0</v>
      </c>
      <c r="Z7" s="31" t="n">
        <v>0</v>
      </c>
      <c r="AA7" s="31" t="n">
        <v>0</v>
      </c>
      <c r="AB7" s="31" t="n">
        <v>0</v>
      </c>
      <c r="AC7" s="31" t="n">
        <v>0</v>
      </c>
      <c r="AD7" s="31" t="n">
        <v>0</v>
      </c>
      <c r="AE7" s="31" t="n">
        <v>0</v>
      </c>
      <c r="AF7" s="31" t="n">
        <v>0</v>
      </c>
      <c r="AG7" s="31" t="n">
        <v>0</v>
      </c>
      <c r="AH7" s="31" t="n">
        <v>0</v>
      </c>
      <c r="AI7" s="31" t="n">
        <v>0</v>
      </c>
      <c r="AJ7" s="31" t="n">
        <v>0</v>
      </c>
      <c r="AK7" s="31" t="n">
        <v>0</v>
      </c>
      <c r="AL7" s="31" t="n">
        <v>0</v>
      </c>
    </row>
    <row r="8" customFormat="false" ht="15" hidden="false" customHeight="false" outlineLevel="0" collapsed="false">
      <c r="B8" s="8" t="s">
        <v>328</v>
      </c>
      <c r="C8" s="21" t="n">
        <f aca="false">IF(1=Drivers!$E$109,(Drivers!$E$119-Drivers!$E$120)+Drivers!$E$121+Drivers!$E$122+Drivers!$E$123+Drivers!$E$124+Drivers!$E$125,0)</f>
        <v>0</v>
      </c>
      <c r="D8" s="21" t="n">
        <f aca="false">IF(2=Drivers!$E$109,(Drivers!$E$119-Drivers!$E$120)+Drivers!$E$121+Drivers!$E$122+Drivers!$E$123+Drivers!$E$124+Drivers!$E$125,0)</f>
        <v>0</v>
      </c>
      <c r="E8" s="21" t="n">
        <f aca="false">IF(3=Drivers!$E$109,(Drivers!$E$119-Drivers!$E$120)+Drivers!$E$121+Drivers!$E$122+Drivers!$E$123+Drivers!$E$124+Drivers!$E$125,0)</f>
        <v>0</v>
      </c>
      <c r="F8" s="21" t="n">
        <f aca="false">IF(4=Drivers!$E$109,(Drivers!$E$119-Drivers!$E$120)+Drivers!$E$121+Drivers!$E$122+Drivers!$E$123+Drivers!$E$124+Drivers!$E$125,0)</f>
        <v>0</v>
      </c>
      <c r="G8" s="21" t="n">
        <f aca="false">IF(5=Drivers!$E$109,(Drivers!$E$119-Drivers!$E$120)+Drivers!$E$121+Drivers!$E$122+Drivers!$E$123+Drivers!$E$124+Drivers!$E$125,0)</f>
        <v>0</v>
      </c>
      <c r="H8" s="21" t="n">
        <f aca="false">IF(6=Drivers!$E$109,(Drivers!$E$119-Drivers!$E$120)+Drivers!$E$121+Drivers!$E$122+Drivers!$E$123+Drivers!$E$124+Drivers!$E$125,0)</f>
        <v>0</v>
      </c>
      <c r="I8" s="21" t="n">
        <f aca="false">IF(7=Drivers!$E$109,(Drivers!$E$119-Drivers!$E$120)+Drivers!$E$121+Drivers!$E$122+Drivers!$E$123+Drivers!$E$124+Drivers!$E$125,0)</f>
        <v>0</v>
      </c>
      <c r="J8" s="21" t="n">
        <f aca="false">IF(8=Drivers!$E$109,(Drivers!$E$119-Drivers!$E$120)+Drivers!$E$121+Drivers!$E$122+Drivers!$E$123+Drivers!$E$124+Drivers!$E$125,0)</f>
        <v>0</v>
      </c>
      <c r="K8" s="21" t="n">
        <f aca="false">IF(9=Drivers!$E$109,(Drivers!$E$119-Drivers!$E$120)+Drivers!$E$121+Drivers!$E$122+Drivers!$E$123+Drivers!$E$124+Drivers!$E$125,0)</f>
        <v>0</v>
      </c>
      <c r="L8" s="21" t="n">
        <f aca="false">IF(10=Drivers!$E$109,(Drivers!$E$119-Drivers!$E$120)+Drivers!$E$121+Drivers!$E$122+Drivers!$E$123+Drivers!$E$124+Drivers!$E$125,0)</f>
        <v>0</v>
      </c>
      <c r="M8" s="21" t="n">
        <f aca="false">IF(11=Drivers!$E$109,(Drivers!$E$119-Drivers!$E$120)+Drivers!$E$121+Drivers!$E$122+Drivers!$E$123+Drivers!$E$124+Drivers!$E$125,0)</f>
        <v>0</v>
      </c>
      <c r="N8" s="21" t="n">
        <f aca="false">IF(12=Drivers!$E$109,(Drivers!$E$119-Drivers!$E$120)+Drivers!$E$121+Drivers!$E$122+Drivers!$E$123+Drivers!$E$124+Drivers!$E$125,0)</f>
        <v>0</v>
      </c>
      <c r="O8" s="21" t="n">
        <f aca="false">IF(13=Drivers!$E$109,(Drivers!$E$119-Drivers!$E$120)+Drivers!$E$121+Drivers!$E$122+Drivers!$E$123+Drivers!$E$124+Drivers!$E$125,0)</f>
        <v>0</v>
      </c>
      <c r="P8" s="21" t="n">
        <f aca="false">IF(14=Drivers!$E$109,(Drivers!$E$119-Drivers!$E$120)+Drivers!$E$121+Drivers!$E$122+Drivers!$E$123+Drivers!$E$124+Drivers!$E$125,0)</f>
        <v>0</v>
      </c>
      <c r="Q8" s="21" t="n">
        <f aca="false">IF(15=Drivers!$E$109,(Drivers!$E$119-Drivers!$E$120)+Drivers!$E$121+Drivers!$E$122+Drivers!$E$123+Drivers!$E$124+Drivers!$E$125,0)</f>
        <v>0</v>
      </c>
      <c r="R8" s="21" t="n">
        <f aca="false">IF(16=Drivers!$E$109,(Drivers!$E$119-Drivers!$E$120)+Drivers!$E$121+Drivers!$E$122+Drivers!$E$123+Drivers!$E$124+Drivers!$E$125,0)</f>
        <v>1425000</v>
      </c>
      <c r="S8" s="21" t="n">
        <f aca="false">IF(17=Drivers!$E$109,(Drivers!$E$119-Drivers!$E$120)+Drivers!$E$121+Drivers!$E$122+Drivers!$E$123+Drivers!$E$124+Drivers!$E$125,0)</f>
        <v>0</v>
      </c>
      <c r="T8" s="21" t="n">
        <f aca="false">IF(18=Drivers!$E$109,(Drivers!$E$119-Drivers!$E$120)+Drivers!$E$121+Drivers!$E$122+Drivers!$E$123+Drivers!$E$124+Drivers!$E$125,0)</f>
        <v>0</v>
      </c>
      <c r="U8" s="21" t="n">
        <f aca="false">IF(19=Drivers!$E$109,(Drivers!$E$119-Drivers!$E$120)+Drivers!$E$121+Drivers!$E$122+Drivers!$E$123+Drivers!$E$124+Drivers!$E$125,0)</f>
        <v>0</v>
      </c>
      <c r="V8" s="21" t="n">
        <f aca="false">IF(20=Drivers!$E$109,(Drivers!$E$119-Drivers!$E$120)+Drivers!$E$121+Drivers!$E$122+Drivers!$E$123+Drivers!$E$124+Drivers!$E$125,0)</f>
        <v>0</v>
      </c>
      <c r="W8" s="21" t="n">
        <f aca="false">IF(21=Drivers!$E$109,(Drivers!$E$119-Drivers!$E$120)+Drivers!$E$121+Drivers!$E$122+Drivers!$E$123+Drivers!$E$124+Drivers!$E$125,0)</f>
        <v>0</v>
      </c>
      <c r="X8" s="21" t="n">
        <f aca="false">IF(22=Drivers!$E$109,(Drivers!$E$119-Drivers!$E$120)+Drivers!$E$121+Drivers!$E$122+Drivers!$E$123+Drivers!$E$124+Drivers!$E$125,0)</f>
        <v>0</v>
      </c>
      <c r="Y8" s="21" t="n">
        <f aca="false">IF(23=Drivers!$E$109,(Drivers!$E$119-Drivers!$E$120)+Drivers!$E$121+Drivers!$E$122+Drivers!$E$123+Drivers!$E$124+Drivers!$E$125,0)</f>
        <v>0</v>
      </c>
      <c r="Z8" s="21" t="n">
        <f aca="false">IF(24=Drivers!$E$109,(Drivers!$E$119-Drivers!$E$120)+Drivers!$E$121+Drivers!$E$122+Drivers!$E$123+Drivers!$E$124+Drivers!$E$125,0)</f>
        <v>0</v>
      </c>
      <c r="AA8" s="21" t="n">
        <f aca="false">IF(25=Drivers!$E$109,(Drivers!$E$119-Drivers!$E$120)+Drivers!$E$121+Drivers!$E$122+Drivers!$E$123+Drivers!$E$124+Drivers!$E$125,0)</f>
        <v>0</v>
      </c>
      <c r="AB8" s="21" t="n">
        <f aca="false">IF(26=Drivers!$E$109,(Drivers!$E$119-Drivers!$E$120)+Drivers!$E$121+Drivers!$E$122+Drivers!$E$123+Drivers!$E$124+Drivers!$E$125,0)</f>
        <v>0</v>
      </c>
      <c r="AC8" s="21" t="n">
        <f aca="false">IF(27=Drivers!$E$109,(Drivers!$E$119-Drivers!$E$120)+Drivers!$E$121+Drivers!$E$122+Drivers!$E$123+Drivers!$E$124+Drivers!$E$125,0)</f>
        <v>0</v>
      </c>
      <c r="AD8" s="21" t="n">
        <f aca="false">IF(28=Drivers!$E$109,(Drivers!$E$119-Drivers!$E$120)+Drivers!$E$121+Drivers!$E$122+Drivers!$E$123+Drivers!$E$124+Drivers!$E$125,0)</f>
        <v>0</v>
      </c>
      <c r="AE8" s="21" t="n">
        <f aca="false">IF(29=Drivers!$E$109,(Drivers!$E$119-Drivers!$E$120)+Drivers!$E$121+Drivers!$E$122+Drivers!$E$123+Drivers!$E$124+Drivers!$E$125,0)</f>
        <v>0</v>
      </c>
      <c r="AF8" s="21" t="n">
        <f aca="false">IF(30=Drivers!$E$109,(Drivers!$E$119-Drivers!$E$120)+Drivers!$E$121+Drivers!$E$122+Drivers!$E$123+Drivers!$E$124+Drivers!$E$125,0)</f>
        <v>0</v>
      </c>
      <c r="AG8" s="21" t="n">
        <f aca="false">IF(31=Drivers!$E$109,(Drivers!$E$119-Drivers!$E$120)+Drivers!$E$121+Drivers!$E$122+Drivers!$E$123+Drivers!$E$124+Drivers!$E$125,0)</f>
        <v>0</v>
      </c>
      <c r="AH8" s="21" t="n">
        <f aca="false">IF(32=Drivers!$E$109,(Drivers!$E$119-Drivers!$E$120)+Drivers!$E$121+Drivers!$E$122+Drivers!$E$123+Drivers!$E$124+Drivers!$E$125,0)</f>
        <v>0</v>
      </c>
      <c r="AI8" s="21" t="n">
        <f aca="false">IF(33=Drivers!$E$109,(Drivers!$E$119-Drivers!$E$120)+Drivers!$E$121+Drivers!$E$122+Drivers!$E$123+Drivers!$E$124+Drivers!$E$125,0)</f>
        <v>0</v>
      </c>
      <c r="AJ8" s="21" t="n">
        <f aca="false">IF(34=Drivers!$E$109,(Drivers!$E$119-Drivers!$E$120)+Drivers!$E$121+Drivers!$E$122+Drivers!$E$123+Drivers!$E$124+Drivers!$E$125,0)</f>
        <v>0</v>
      </c>
      <c r="AK8" s="21" t="n">
        <f aca="false">IF(35=Drivers!$E$109,(Drivers!$E$119-Drivers!$E$120)+Drivers!$E$121+Drivers!$E$122+Drivers!$E$123+Drivers!$E$124+Drivers!$E$125,0)</f>
        <v>0</v>
      </c>
      <c r="AL8" s="21" t="n">
        <f aca="false">IF(36=Drivers!$E$109,(Drivers!$E$119-Drivers!$E$120)+Drivers!$E$121+Drivers!$E$122+Drivers!$E$123+Drivers!$E$124+Drivers!$E$125,0)</f>
        <v>0</v>
      </c>
    </row>
    <row r="9" customFormat="false" ht="15" hidden="false" customHeight="false" outlineLevel="0" collapsed="false">
      <c r="B9" s="8" t="s">
        <v>329</v>
      </c>
      <c r="C9" s="21" t="n">
        <f aca="false">IF(1=Drivers!$E$110,(Drivers!$E$119-Drivers!$E$120)+Drivers!$E$121+Drivers!$E$122+Drivers!$E$123+Drivers!$E$124+Drivers!$E$125,0)</f>
        <v>0</v>
      </c>
      <c r="D9" s="21" t="n">
        <f aca="false">IF(2=Drivers!$E$110,(Drivers!$E$119-Drivers!$E$120)+Drivers!$E$121+Drivers!$E$122+Drivers!$E$123+Drivers!$E$124+Drivers!$E$125,0)</f>
        <v>0</v>
      </c>
      <c r="E9" s="21" t="n">
        <f aca="false">IF(3=Drivers!$E$110,(Drivers!$E$119-Drivers!$E$120)+Drivers!$E$121+Drivers!$E$122+Drivers!$E$123+Drivers!$E$124+Drivers!$E$125,0)</f>
        <v>0</v>
      </c>
      <c r="F9" s="21" t="n">
        <f aca="false">IF(4=Drivers!$E$110,(Drivers!$E$119-Drivers!$E$120)+Drivers!$E$121+Drivers!$E$122+Drivers!$E$123+Drivers!$E$124+Drivers!$E$125,0)</f>
        <v>0</v>
      </c>
      <c r="G9" s="21" t="n">
        <f aca="false">IF(5=Drivers!$E$110,(Drivers!$E$119-Drivers!$E$120)+Drivers!$E$121+Drivers!$E$122+Drivers!$E$123+Drivers!$E$124+Drivers!$E$125,0)</f>
        <v>0</v>
      </c>
      <c r="H9" s="21" t="n">
        <f aca="false">IF(6=Drivers!$E$110,(Drivers!$E$119-Drivers!$E$120)+Drivers!$E$121+Drivers!$E$122+Drivers!$E$123+Drivers!$E$124+Drivers!$E$125,0)</f>
        <v>0</v>
      </c>
      <c r="I9" s="21" t="n">
        <f aca="false">IF(7=Drivers!$E$110,(Drivers!$E$119-Drivers!$E$120)+Drivers!$E$121+Drivers!$E$122+Drivers!$E$123+Drivers!$E$124+Drivers!$E$125,0)</f>
        <v>0</v>
      </c>
      <c r="J9" s="21" t="n">
        <f aca="false">IF(8=Drivers!$E$110,(Drivers!$E$119-Drivers!$E$120)+Drivers!$E$121+Drivers!$E$122+Drivers!$E$123+Drivers!$E$124+Drivers!$E$125,0)</f>
        <v>0</v>
      </c>
      <c r="K9" s="21" t="n">
        <f aca="false">IF(9=Drivers!$E$110,(Drivers!$E$119-Drivers!$E$120)+Drivers!$E$121+Drivers!$E$122+Drivers!$E$123+Drivers!$E$124+Drivers!$E$125,0)</f>
        <v>0</v>
      </c>
      <c r="L9" s="21" t="n">
        <f aca="false">IF(10=Drivers!$E$110,(Drivers!$E$119-Drivers!$E$120)+Drivers!$E$121+Drivers!$E$122+Drivers!$E$123+Drivers!$E$124+Drivers!$E$125,0)</f>
        <v>0</v>
      </c>
      <c r="M9" s="21" t="n">
        <f aca="false">IF(11=Drivers!$E$110,(Drivers!$E$119-Drivers!$E$120)+Drivers!$E$121+Drivers!$E$122+Drivers!$E$123+Drivers!$E$124+Drivers!$E$125,0)</f>
        <v>0</v>
      </c>
      <c r="N9" s="21" t="n">
        <f aca="false">IF(12=Drivers!$E$110,(Drivers!$E$119-Drivers!$E$120)+Drivers!$E$121+Drivers!$E$122+Drivers!$E$123+Drivers!$E$124+Drivers!$E$125,0)</f>
        <v>0</v>
      </c>
      <c r="O9" s="21" t="n">
        <f aca="false">IF(13=Drivers!$E$110,(Drivers!$E$119-Drivers!$E$120)+Drivers!$E$121+Drivers!$E$122+Drivers!$E$123+Drivers!$E$124+Drivers!$E$125,0)</f>
        <v>0</v>
      </c>
      <c r="P9" s="21" t="n">
        <f aca="false">IF(14=Drivers!$E$110,(Drivers!$E$119-Drivers!$E$120)+Drivers!$E$121+Drivers!$E$122+Drivers!$E$123+Drivers!$E$124+Drivers!$E$125,0)</f>
        <v>0</v>
      </c>
      <c r="Q9" s="21" t="n">
        <f aca="false">IF(15=Drivers!$E$110,(Drivers!$E$119-Drivers!$E$120)+Drivers!$E$121+Drivers!$E$122+Drivers!$E$123+Drivers!$E$124+Drivers!$E$125,0)</f>
        <v>0</v>
      </c>
      <c r="R9" s="21" t="n">
        <f aca="false">IF(16=Drivers!$E$110,(Drivers!$E$119-Drivers!$E$120)+Drivers!$E$121+Drivers!$E$122+Drivers!$E$123+Drivers!$E$124+Drivers!$E$125,0)</f>
        <v>0</v>
      </c>
      <c r="S9" s="21" t="n">
        <f aca="false">IF(17=Drivers!$E$110,(Drivers!$E$119-Drivers!$E$120)+Drivers!$E$121+Drivers!$E$122+Drivers!$E$123+Drivers!$E$124+Drivers!$E$125,0)</f>
        <v>0</v>
      </c>
      <c r="T9" s="21" t="n">
        <f aca="false">IF(18=Drivers!$E$110,(Drivers!$E$119-Drivers!$E$120)+Drivers!$E$121+Drivers!$E$122+Drivers!$E$123+Drivers!$E$124+Drivers!$E$125,0)</f>
        <v>0</v>
      </c>
      <c r="U9" s="21" t="n">
        <f aca="false">IF(19=Drivers!$E$110,(Drivers!$E$119-Drivers!$E$120)+Drivers!$E$121+Drivers!$E$122+Drivers!$E$123+Drivers!$E$124+Drivers!$E$125,0)</f>
        <v>0</v>
      </c>
      <c r="V9" s="21" t="n">
        <f aca="false">IF(20=Drivers!$E$110,(Drivers!$E$119-Drivers!$E$120)+Drivers!$E$121+Drivers!$E$122+Drivers!$E$123+Drivers!$E$124+Drivers!$E$125,0)</f>
        <v>0</v>
      </c>
      <c r="W9" s="21" t="n">
        <f aca="false">IF(21=Drivers!$E$110,(Drivers!$E$119-Drivers!$E$120)+Drivers!$E$121+Drivers!$E$122+Drivers!$E$123+Drivers!$E$124+Drivers!$E$125,0)</f>
        <v>0</v>
      </c>
      <c r="X9" s="21" t="n">
        <f aca="false">IF(22=Drivers!$E$110,(Drivers!$E$119-Drivers!$E$120)+Drivers!$E$121+Drivers!$E$122+Drivers!$E$123+Drivers!$E$124+Drivers!$E$125,0)</f>
        <v>0</v>
      </c>
      <c r="Y9" s="21" t="n">
        <f aca="false">IF(23=Drivers!$E$110,(Drivers!$E$119-Drivers!$E$120)+Drivers!$E$121+Drivers!$E$122+Drivers!$E$123+Drivers!$E$124+Drivers!$E$125,0)</f>
        <v>0</v>
      </c>
      <c r="Z9" s="21" t="n">
        <f aca="false">IF(24=Drivers!$E$110,(Drivers!$E$119-Drivers!$E$120)+Drivers!$E$121+Drivers!$E$122+Drivers!$E$123+Drivers!$E$124+Drivers!$E$125,0)</f>
        <v>0</v>
      </c>
      <c r="AA9" s="21" t="n">
        <f aca="false">IF(25=Drivers!$E$110,(Drivers!$E$119-Drivers!$E$120)+Drivers!$E$121+Drivers!$E$122+Drivers!$E$123+Drivers!$E$124+Drivers!$E$125,0)</f>
        <v>0</v>
      </c>
      <c r="AB9" s="21" t="n">
        <f aca="false">IF(26=Drivers!$E$110,(Drivers!$E$119-Drivers!$E$120)+Drivers!$E$121+Drivers!$E$122+Drivers!$E$123+Drivers!$E$124+Drivers!$E$125,0)</f>
        <v>0</v>
      </c>
      <c r="AC9" s="21" t="n">
        <f aca="false">IF(27=Drivers!$E$110,(Drivers!$E$119-Drivers!$E$120)+Drivers!$E$121+Drivers!$E$122+Drivers!$E$123+Drivers!$E$124+Drivers!$E$125,0)</f>
        <v>1425000</v>
      </c>
      <c r="AD9" s="21" t="n">
        <f aca="false">IF(28=Drivers!$E$110,(Drivers!$E$119-Drivers!$E$120)+Drivers!$E$121+Drivers!$E$122+Drivers!$E$123+Drivers!$E$124+Drivers!$E$125,0)</f>
        <v>0</v>
      </c>
      <c r="AE9" s="21" t="n">
        <f aca="false">IF(29=Drivers!$E$110,(Drivers!$E$119-Drivers!$E$120)+Drivers!$E$121+Drivers!$E$122+Drivers!$E$123+Drivers!$E$124+Drivers!$E$125,0)</f>
        <v>0</v>
      </c>
      <c r="AF9" s="21" t="n">
        <f aca="false">IF(30=Drivers!$E$110,(Drivers!$E$119-Drivers!$E$120)+Drivers!$E$121+Drivers!$E$122+Drivers!$E$123+Drivers!$E$124+Drivers!$E$125,0)</f>
        <v>0</v>
      </c>
      <c r="AG9" s="21" t="n">
        <f aca="false">IF(31=Drivers!$E$110,(Drivers!$E$119-Drivers!$E$120)+Drivers!$E$121+Drivers!$E$122+Drivers!$E$123+Drivers!$E$124+Drivers!$E$125,0)</f>
        <v>0</v>
      </c>
      <c r="AH9" s="21" t="n">
        <f aca="false">IF(32=Drivers!$E$110,(Drivers!$E$119-Drivers!$E$120)+Drivers!$E$121+Drivers!$E$122+Drivers!$E$123+Drivers!$E$124+Drivers!$E$125,0)</f>
        <v>0</v>
      </c>
      <c r="AI9" s="21" t="n">
        <f aca="false">IF(33=Drivers!$E$110,(Drivers!$E$119-Drivers!$E$120)+Drivers!$E$121+Drivers!$E$122+Drivers!$E$123+Drivers!$E$124+Drivers!$E$125,0)</f>
        <v>0</v>
      </c>
      <c r="AJ9" s="21" t="n">
        <f aca="false">IF(34=Drivers!$E$110,(Drivers!$E$119-Drivers!$E$120)+Drivers!$E$121+Drivers!$E$122+Drivers!$E$123+Drivers!$E$124+Drivers!$E$125,0)</f>
        <v>0</v>
      </c>
      <c r="AK9" s="21" t="n">
        <f aca="false">IF(35=Drivers!$E$110,(Drivers!$E$119-Drivers!$E$120)+Drivers!$E$121+Drivers!$E$122+Drivers!$E$123+Drivers!$E$124+Drivers!$E$125,0)</f>
        <v>0</v>
      </c>
      <c r="AL9" s="21" t="n">
        <f aca="false">IF(36=Drivers!$E$110,(Drivers!$E$119-Drivers!$E$120)+Drivers!$E$121+Drivers!$E$122+Drivers!$E$123+Drivers!$E$124+Drivers!$E$125,0)</f>
        <v>0</v>
      </c>
    </row>
    <row r="11" customFormat="false" ht="15" hidden="false" customHeight="false" outlineLevel="0" collapsed="false">
      <c r="B11" s="10" t="s">
        <v>330</v>
      </c>
      <c r="C11" s="30" t="n">
        <f aca="false">SUM(C7:C9)</f>
        <v>1775000</v>
      </c>
      <c r="D11" s="30" t="n">
        <f aca="false">SUM(D7:D9)</f>
        <v>0</v>
      </c>
      <c r="E11" s="30" t="n">
        <f aca="false">SUM(E7:E9)</f>
        <v>0</v>
      </c>
      <c r="F11" s="30" t="n">
        <f aca="false">SUM(F7:F9)</f>
        <v>0</v>
      </c>
      <c r="G11" s="30" t="n">
        <f aca="false">SUM(G7:G9)</f>
        <v>0</v>
      </c>
      <c r="H11" s="30" t="n">
        <f aca="false">SUM(H7:H9)</f>
        <v>0</v>
      </c>
      <c r="I11" s="30" t="n">
        <f aca="false">SUM(I7:I9)</f>
        <v>0</v>
      </c>
      <c r="J11" s="30" t="n">
        <f aca="false">SUM(J7:J9)</f>
        <v>0</v>
      </c>
      <c r="K11" s="30" t="n">
        <f aca="false">SUM(K7:K9)</f>
        <v>0</v>
      </c>
      <c r="L11" s="30" t="n">
        <f aca="false">SUM(L7:L9)</f>
        <v>0</v>
      </c>
      <c r="M11" s="30" t="n">
        <f aca="false">SUM(M7:M9)</f>
        <v>0</v>
      </c>
      <c r="N11" s="30" t="n">
        <f aca="false">SUM(N7:N9)</f>
        <v>0</v>
      </c>
      <c r="O11" s="30" t="n">
        <f aca="false">SUM(O7:O9)</f>
        <v>0</v>
      </c>
      <c r="P11" s="30" t="n">
        <f aca="false">SUM(P7:P9)</f>
        <v>0</v>
      </c>
      <c r="Q11" s="30" t="n">
        <f aca="false">SUM(Q7:Q9)</f>
        <v>0</v>
      </c>
      <c r="R11" s="30" t="n">
        <f aca="false">SUM(R7:R9)</f>
        <v>1425000</v>
      </c>
      <c r="S11" s="30" t="n">
        <f aca="false">SUM(S7:S9)</f>
        <v>0</v>
      </c>
      <c r="T11" s="30" t="n">
        <f aca="false">SUM(T7:T9)</f>
        <v>0</v>
      </c>
      <c r="U11" s="30" t="n">
        <f aca="false">SUM(U7:U9)</f>
        <v>0</v>
      </c>
      <c r="V11" s="30" t="n">
        <f aca="false">SUM(V7:V9)</f>
        <v>0</v>
      </c>
      <c r="W11" s="30" t="n">
        <f aca="false">SUM(W7:W9)</f>
        <v>0</v>
      </c>
      <c r="X11" s="30" t="n">
        <f aca="false">SUM(X7:X9)</f>
        <v>0</v>
      </c>
      <c r="Y11" s="30" t="n">
        <f aca="false">SUM(Y7:Y9)</f>
        <v>0</v>
      </c>
      <c r="Z11" s="30" t="n">
        <f aca="false">SUM(Z7:Z9)</f>
        <v>0</v>
      </c>
      <c r="AA11" s="30" t="n">
        <f aca="false">SUM(AA7:AA9)</f>
        <v>0</v>
      </c>
      <c r="AB11" s="30" t="n">
        <f aca="false">SUM(AB7:AB9)</f>
        <v>0</v>
      </c>
      <c r="AC11" s="30" t="n">
        <f aca="false">SUM(AC7:AC9)</f>
        <v>1425000</v>
      </c>
      <c r="AD11" s="30" t="n">
        <f aca="false">SUM(AD7:AD9)</f>
        <v>0</v>
      </c>
      <c r="AE11" s="30" t="n">
        <f aca="false">SUM(AE7:AE9)</f>
        <v>0</v>
      </c>
      <c r="AF11" s="30" t="n">
        <f aca="false">SUM(AF7:AF9)</f>
        <v>0</v>
      </c>
      <c r="AG11" s="30" t="n">
        <f aca="false">SUM(AG7:AG9)</f>
        <v>0</v>
      </c>
      <c r="AH11" s="30" t="n">
        <f aca="false">SUM(AH7:AH9)</f>
        <v>0</v>
      </c>
      <c r="AI11" s="30" t="n">
        <f aca="false">SUM(AI7:AI9)</f>
        <v>0</v>
      </c>
      <c r="AJ11" s="30" t="n">
        <f aca="false">SUM(AJ7:AJ9)</f>
        <v>0</v>
      </c>
      <c r="AK11" s="30" t="n">
        <f aca="false">SUM(AK7:AK9)</f>
        <v>0</v>
      </c>
      <c r="AL11" s="30" t="n">
        <f aca="false">SUM(AL7:AL9)</f>
        <v>0</v>
      </c>
    </row>
    <row r="12" customFormat="false" ht="15" hidden="false" customHeight="false" outlineLevel="0" collapsed="false">
      <c r="B12" s="8" t="s">
        <v>331</v>
      </c>
      <c r="C12" s="21" t="n">
        <f aca="false">C11</f>
        <v>1775000</v>
      </c>
      <c r="D12" s="21" t="n">
        <f aca="false">C12+D11</f>
        <v>1775000</v>
      </c>
      <c r="E12" s="21" t="n">
        <f aca="false">D12+E11</f>
        <v>1775000</v>
      </c>
      <c r="F12" s="21" t="n">
        <f aca="false">E12+F11</f>
        <v>1775000</v>
      </c>
      <c r="G12" s="21" t="n">
        <f aca="false">F12+G11</f>
        <v>1775000</v>
      </c>
      <c r="H12" s="21" t="n">
        <f aca="false">G12+H11</f>
        <v>1775000</v>
      </c>
      <c r="I12" s="21" t="n">
        <f aca="false">H12+I11</f>
        <v>1775000</v>
      </c>
      <c r="J12" s="21" t="n">
        <f aca="false">I12+J11</f>
        <v>1775000</v>
      </c>
      <c r="K12" s="21" t="n">
        <f aca="false">J12+K11</f>
        <v>1775000</v>
      </c>
      <c r="L12" s="21" t="n">
        <f aca="false">K12+L11</f>
        <v>1775000</v>
      </c>
      <c r="M12" s="21" t="n">
        <f aca="false">L12+M11</f>
        <v>1775000</v>
      </c>
      <c r="N12" s="21" t="n">
        <f aca="false">M12+N11</f>
        <v>1775000</v>
      </c>
      <c r="O12" s="21" t="n">
        <f aca="false">N12+O11</f>
        <v>1775000</v>
      </c>
      <c r="P12" s="21" t="n">
        <f aca="false">O12+P11</f>
        <v>1775000</v>
      </c>
      <c r="Q12" s="21" t="n">
        <f aca="false">P12+Q11</f>
        <v>1775000</v>
      </c>
      <c r="R12" s="21" t="n">
        <f aca="false">Q12+R11</f>
        <v>3200000</v>
      </c>
      <c r="S12" s="21" t="n">
        <f aca="false">R12+S11</f>
        <v>3200000</v>
      </c>
      <c r="T12" s="21" t="n">
        <f aca="false">S12+T11</f>
        <v>3200000</v>
      </c>
      <c r="U12" s="21" t="n">
        <f aca="false">T12+U11</f>
        <v>3200000</v>
      </c>
      <c r="V12" s="21" t="n">
        <f aca="false">U12+V11</f>
        <v>3200000</v>
      </c>
      <c r="W12" s="21" t="n">
        <f aca="false">V12+W11</f>
        <v>3200000</v>
      </c>
      <c r="X12" s="21" t="n">
        <f aca="false">W12+X11</f>
        <v>3200000</v>
      </c>
      <c r="Y12" s="21" t="n">
        <f aca="false">X12+Y11</f>
        <v>3200000</v>
      </c>
      <c r="Z12" s="21" t="n">
        <f aca="false">Y12+Z11</f>
        <v>3200000</v>
      </c>
      <c r="AA12" s="21" t="n">
        <f aca="false">Z12+AA11</f>
        <v>3200000</v>
      </c>
      <c r="AB12" s="21" t="n">
        <f aca="false">AA12+AB11</f>
        <v>3200000</v>
      </c>
      <c r="AC12" s="21" t="n">
        <f aca="false">AB12+AC11</f>
        <v>4625000</v>
      </c>
      <c r="AD12" s="21" t="n">
        <f aca="false">AC12+AD11</f>
        <v>4625000</v>
      </c>
      <c r="AE12" s="21" t="n">
        <f aca="false">AD12+AE11</f>
        <v>4625000</v>
      </c>
      <c r="AF12" s="21" t="n">
        <f aca="false">AE12+AF11</f>
        <v>4625000</v>
      </c>
      <c r="AG12" s="21" t="n">
        <f aca="false">AF12+AG11</f>
        <v>4625000</v>
      </c>
      <c r="AH12" s="21" t="n">
        <f aca="false">AG12+AH11</f>
        <v>4625000</v>
      </c>
      <c r="AI12" s="21" t="n">
        <f aca="false">AH12+AI11</f>
        <v>4625000</v>
      </c>
      <c r="AJ12" s="21" t="n">
        <f aca="false">AI12+AJ11</f>
        <v>4625000</v>
      </c>
      <c r="AK12" s="21" t="n">
        <f aca="false">AJ12+AK11</f>
        <v>4625000</v>
      </c>
      <c r="AL12" s="21" t="n">
        <f aca="false">AK12+AL11</f>
        <v>4625000</v>
      </c>
    </row>
    <row r="14" customFormat="false" ht="15" hidden="false" customHeight="false" outlineLevel="0" collapsed="false">
      <c r="B14" s="8" t="s">
        <v>332</v>
      </c>
      <c r="C14" s="21" t="n">
        <f aca="false">C12/8/12</f>
        <v>18489.5833333333</v>
      </c>
      <c r="D14" s="21" t="n">
        <f aca="false">D12/8/12</f>
        <v>18489.5833333333</v>
      </c>
      <c r="E14" s="21" t="n">
        <f aca="false">E12/8/12</f>
        <v>18489.5833333333</v>
      </c>
      <c r="F14" s="21" t="n">
        <f aca="false">F12/8/12</f>
        <v>18489.5833333333</v>
      </c>
      <c r="G14" s="21" t="n">
        <f aca="false">G12/8/12</f>
        <v>18489.5833333333</v>
      </c>
      <c r="H14" s="21" t="n">
        <f aca="false">H12/8/12</f>
        <v>18489.5833333333</v>
      </c>
      <c r="I14" s="21" t="n">
        <f aca="false">I12/8/12</f>
        <v>18489.5833333333</v>
      </c>
      <c r="J14" s="21" t="n">
        <f aca="false">J12/8/12</f>
        <v>18489.5833333333</v>
      </c>
      <c r="K14" s="21" t="n">
        <f aca="false">K12/8/12</f>
        <v>18489.5833333333</v>
      </c>
      <c r="L14" s="21" t="n">
        <f aca="false">L12/8/12</f>
        <v>18489.5833333333</v>
      </c>
      <c r="M14" s="21" t="n">
        <f aca="false">M12/8/12</f>
        <v>18489.5833333333</v>
      </c>
      <c r="N14" s="21" t="n">
        <f aca="false">N12/8/12</f>
        <v>18489.5833333333</v>
      </c>
      <c r="O14" s="21" t="n">
        <f aca="false">O12/8/12</f>
        <v>18489.5833333333</v>
      </c>
      <c r="P14" s="21" t="n">
        <f aca="false">P12/8/12</f>
        <v>18489.5833333333</v>
      </c>
      <c r="Q14" s="21" t="n">
        <f aca="false">Q12/8/12</f>
        <v>18489.5833333333</v>
      </c>
      <c r="R14" s="21" t="n">
        <f aca="false">R12/8/12</f>
        <v>33333.3333333333</v>
      </c>
      <c r="S14" s="21" t="n">
        <f aca="false">S12/8/12</f>
        <v>33333.3333333333</v>
      </c>
      <c r="T14" s="21" t="n">
        <f aca="false">T12/8/12</f>
        <v>33333.3333333333</v>
      </c>
      <c r="U14" s="21" t="n">
        <f aca="false">U12/8/12</f>
        <v>33333.3333333333</v>
      </c>
      <c r="V14" s="21" t="n">
        <f aca="false">V12/8/12</f>
        <v>33333.3333333333</v>
      </c>
      <c r="W14" s="21" t="n">
        <f aca="false">W12/8/12</f>
        <v>33333.3333333333</v>
      </c>
      <c r="X14" s="21" t="n">
        <f aca="false">X12/8/12</f>
        <v>33333.3333333333</v>
      </c>
      <c r="Y14" s="21" t="n">
        <f aca="false">Y12/8/12</f>
        <v>33333.3333333333</v>
      </c>
      <c r="Z14" s="21" t="n">
        <f aca="false">Z12/8/12</f>
        <v>33333.3333333333</v>
      </c>
      <c r="AA14" s="21" t="n">
        <f aca="false">AA12/8/12</f>
        <v>33333.3333333333</v>
      </c>
      <c r="AB14" s="21" t="n">
        <f aca="false">AB12/8/12</f>
        <v>33333.3333333333</v>
      </c>
      <c r="AC14" s="21" t="n">
        <f aca="false">AC12/8/12</f>
        <v>48177.0833333333</v>
      </c>
      <c r="AD14" s="21" t="n">
        <f aca="false">AD12/8/12</f>
        <v>48177.0833333333</v>
      </c>
      <c r="AE14" s="21" t="n">
        <f aca="false">AE12/8/12</f>
        <v>48177.0833333333</v>
      </c>
      <c r="AF14" s="21" t="n">
        <f aca="false">AF12/8/12</f>
        <v>48177.0833333333</v>
      </c>
      <c r="AG14" s="21" t="n">
        <f aca="false">AG12/8/12</f>
        <v>48177.0833333333</v>
      </c>
      <c r="AH14" s="21" t="n">
        <f aca="false">AH12/8/12</f>
        <v>48177.0833333333</v>
      </c>
      <c r="AI14" s="21" t="n">
        <f aca="false">AI12/8/12</f>
        <v>48177.0833333333</v>
      </c>
      <c r="AJ14" s="21" t="n">
        <f aca="false">AJ12/8/12</f>
        <v>48177.0833333333</v>
      </c>
      <c r="AK14" s="21" t="n">
        <f aca="false">AK12/8/12</f>
        <v>48177.0833333333</v>
      </c>
      <c r="AL14" s="21" t="n">
        <f aca="false">AL12/8/12</f>
        <v>48177.0833333333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L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6"/>
    <col collapsed="false" customWidth="true" hidden="false" outlineLevel="0" max="38" min="3" style="0" width="11"/>
  </cols>
  <sheetData>
    <row r="2" customFormat="false" ht="22.05" hidden="false" customHeight="false" outlineLevel="0" collapsed="false">
      <c r="B2" s="1" t="s">
        <v>333</v>
      </c>
    </row>
    <row r="3" customFormat="false" ht="22.35" hidden="false" customHeight="false" outlineLevel="0" collapsed="false">
      <c r="B3" s="16" t="s">
        <v>334</v>
      </c>
    </row>
    <row r="5" customFormat="false" ht="15" hidden="false" customHeight="false" outlineLevel="0" collapsed="false">
      <c r="B5" s="27" t="s">
        <v>222</v>
      </c>
      <c r="C5" s="28" t="s">
        <v>223</v>
      </c>
      <c r="D5" s="28" t="s">
        <v>224</v>
      </c>
      <c r="E5" s="28" t="s">
        <v>225</v>
      </c>
      <c r="F5" s="28" t="s">
        <v>226</v>
      </c>
      <c r="G5" s="28" t="s">
        <v>227</v>
      </c>
      <c r="H5" s="28" t="s">
        <v>228</v>
      </c>
      <c r="I5" s="28" t="s">
        <v>229</v>
      </c>
      <c r="J5" s="28" t="s">
        <v>230</v>
      </c>
      <c r="K5" s="28" t="s">
        <v>231</v>
      </c>
      <c r="L5" s="28" t="s">
        <v>232</v>
      </c>
      <c r="M5" s="28" t="s">
        <v>233</v>
      </c>
      <c r="N5" s="28" t="s">
        <v>234</v>
      </c>
      <c r="O5" s="28" t="s">
        <v>235</v>
      </c>
      <c r="P5" s="28" t="s">
        <v>236</v>
      </c>
      <c r="Q5" s="28" t="s">
        <v>237</v>
      </c>
      <c r="R5" s="28" t="s">
        <v>238</v>
      </c>
      <c r="S5" s="28" t="s">
        <v>239</v>
      </c>
      <c r="T5" s="28" t="s">
        <v>240</v>
      </c>
      <c r="U5" s="28" t="s">
        <v>241</v>
      </c>
      <c r="V5" s="28" t="s">
        <v>242</v>
      </c>
      <c r="W5" s="28" t="s">
        <v>243</v>
      </c>
      <c r="X5" s="28" t="s">
        <v>244</v>
      </c>
      <c r="Y5" s="28" t="s">
        <v>245</v>
      </c>
      <c r="Z5" s="28" t="s">
        <v>246</v>
      </c>
      <c r="AA5" s="28" t="s">
        <v>247</v>
      </c>
      <c r="AB5" s="28" t="s">
        <v>248</v>
      </c>
      <c r="AC5" s="28" t="s">
        <v>249</v>
      </c>
      <c r="AD5" s="28" t="s">
        <v>250</v>
      </c>
      <c r="AE5" s="28" t="s">
        <v>251</v>
      </c>
      <c r="AF5" s="28" t="s">
        <v>252</v>
      </c>
      <c r="AG5" s="28" t="s">
        <v>253</v>
      </c>
      <c r="AH5" s="28" t="s">
        <v>254</v>
      </c>
      <c r="AI5" s="28" t="s">
        <v>255</v>
      </c>
      <c r="AJ5" s="28" t="s">
        <v>256</v>
      </c>
      <c r="AK5" s="28" t="s">
        <v>257</v>
      </c>
      <c r="AL5" s="28" t="s">
        <v>258</v>
      </c>
    </row>
    <row r="6" customFormat="false" ht="15" hidden="false" customHeight="false" outlineLevel="0" collapsed="false">
      <c r="C6" s="29" t="s">
        <v>5</v>
      </c>
      <c r="D6" s="29" t="s">
        <v>5</v>
      </c>
      <c r="E6" s="29" t="s">
        <v>5</v>
      </c>
      <c r="F6" s="29" t="s">
        <v>5</v>
      </c>
      <c r="G6" s="29" t="s">
        <v>5</v>
      </c>
      <c r="H6" s="29" t="s">
        <v>5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6</v>
      </c>
      <c r="P6" s="29" t="s">
        <v>6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  <c r="Z6" s="29" t="s">
        <v>6</v>
      </c>
      <c r="AA6" s="29" t="s">
        <v>7</v>
      </c>
      <c r="AB6" s="29" t="s">
        <v>7</v>
      </c>
      <c r="AC6" s="29" t="s">
        <v>7</v>
      </c>
      <c r="AD6" s="29" t="s">
        <v>7</v>
      </c>
      <c r="AE6" s="29" t="s">
        <v>7</v>
      </c>
      <c r="AF6" s="29" t="s">
        <v>7</v>
      </c>
      <c r="AG6" s="29" t="s">
        <v>7</v>
      </c>
      <c r="AH6" s="29" t="s">
        <v>7</v>
      </c>
      <c r="AI6" s="29" t="s">
        <v>7</v>
      </c>
      <c r="AJ6" s="29" t="s">
        <v>7</v>
      </c>
      <c r="AK6" s="29" t="s">
        <v>7</v>
      </c>
      <c r="AL6" s="29" t="s">
        <v>7</v>
      </c>
    </row>
    <row r="7" customFormat="false" ht="15" hidden="false" customHeight="false" outlineLevel="0" collapsed="false">
      <c r="B7" s="8" t="s">
        <v>335</v>
      </c>
      <c r="C7" s="12" t="n">
        <f aca="false">Revenue!C8</f>
        <v>74200</v>
      </c>
      <c r="D7" s="12" t="n">
        <f aca="false">Revenue!D8</f>
        <v>87690.9090909091</v>
      </c>
      <c r="E7" s="12" t="n">
        <f aca="false">Revenue!E8</f>
        <v>114672.727272727</v>
      </c>
      <c r="F7" s="12" t="n">
        <f aca="false">Revenue!F8</f>
        <v>141654.545454545</v>
      </c>
      <c r="G7" s="12" t="n">
        <f aca="false">Revenue!G8</f>
        <v>168636.363636364</v>
      </c>
      <c r="H7" s="12" t="n">
        <f aca="false">Revenue!H8</f>
        <v>195618.181818182</v>
      </c>
      <c r="I7" s="12" t="n">
        <f aca="false">Revenue!I8</f>
        <v>222600</v>
      </c>
      <c r="J7" s="12" t="n">
        <f aca="false">Revenue!J8</f>
        <v>249581.818181818</v>
      </c>
      <c r="K7" s="12" t="n">
        <f aca="false">Revenue!K8</f>
        <v>276563.636363636</v>
      </c>
      <c r="L7" s="12" t="n">
        <f aca="false">Revenue!L8</f>
        <v>303545.454545455</v>
      </c>
      <c r="M7" s="12" t="n">
        <f aca="false">Revenue!M8</f>
        <v>330527.272727273</v>
      </c>
      <c r="N7" s="12" t="n">
        <f aca="false">Revenue!N8</f>
        <v>357509.090909091</v>
      </c>
      <c r="O7" s="12" t="n">
        <f aca="false">Revenue!O8</f>
        <v>394187.5</v>
      </c>
      <c r="P7" s="12" t="n">
        <f aca="false">Revenue!P8</f>
        <v>440562.5</v>
      </c>
      <c r="Q7" s="12" t="n">
        <f aca="false">Revenue!Q8</f>
        <v>486937.5</v>
      </c>
      <c r="R7" s="12" t="n">
        <f aca="false">Revenue!R8</f>
        <v>533312.5</v>
      </c>
      <c r="S7" s="12" t="n">
        <f aca="false">Revenue!S8</f>
        <v>579687.5</v>
      </c>
      <c r="T7" s="12" t="n">
        <f aca="false">Revenue!T8</f>
        <v>626062.5</v>
      </c>
      <c r="U7" s="12" t="n">
        <f aca="false">Revenue!U8</f>
        <v>672437.5</v>
      </c>
      <c r="V7" s="12" t="n">
        <f aca="false">Revenue!V8</f>
        <v>718812.5</v>
      </c>
      <c r="W7" s="12" t="n">
        <f aca="false">Revenue!W8</f>
        <v>765187.5</v>
      </c>
      <c r="X7" s="12" t="n">
        <f aca="false">Revenue!X8</f>
        <v>811562.5</v>
      </c>
      <c r="Y7" s="12" t="n">
        <f aca="false">Revenue!Y8</f>
        <v>857937.5</v>
      </c>
      <c r="Z7" s="12" t="n">
        <f aca="false">Revenue!Z8</f>
        <v>904312.5</v>
      </c>
      <c r="AA7" s="12" t="n">
        <f aca="false">Revenue!AA8</f>
        <v>966145.833333333</v>
      </c>
      <c r="AB7" s="12" t="n">
        <f aca="false">Revenue!AB8</f>
        <v>1043437.5</v>
      </c>
      <c r="AC7" s="12" t="n">
        <f aca="false">Revenue!AC8</f>
        <v>1120729.16666667</v>
      </c>
      <c r="AD7" s="12" t="n">
        <f aca="false">Revenue!AD8</f>
        <v>1198020.83333333</v>
      </c>
      <c r="AE7" s="12" t="n">
        <f aca="false">Revenue!AE8</f>
        <v>1275312.5</v>
      </c>
      <c r="AF7" s="12" t="n">
        <f aca="false">Revenue!AF8</f>
        <v>1352604.16666667</v>
      </c>
      <c r="AG7" s="12" t="n">
        <f aca="false">Revenue!AG8</f>
        <v>1429895.83333333</v>
      </c>
      <c r="AH7" s="12" t="n">
        <f aca="false">Revenue!AH8</f>
        <v>1507187.5</v>
      </c>
      <c r="AI7" s="12" t="n">
        <f aca="false">Revenue!AI8</f>
        <v>1584479.16666667</v>
      </c>
      <c r="AJ7" s="12" t="n">
        <f aca="false">Revenue!AJ8</f>
        <v>1661770.83333333</v>
      </c>
      <c r="AK7" s="12" t="n">
        <f aca="false">Revenue!AK8</f>
        <v>1739062.5</v>
      </c>
      <c r="AL7" s="12" t="n">
        <f aca="false">Revenue!AL8</f>
        <v>1816354.16666667</v>
      </c>
    </row>
    <row r="8" customFormat="false" ht="15" hidden="false" customHeight="false" outlineLevel="0" collapsed="false">
      <c r="B8" s="8" t="s">
        <v>336</v>
      </c>
      <c r="C8" s="12" t="n">
        <f aca="false">Revenue!C9</f>
        <v>1345.19470118689</v>
      </c>
      <c r="D8" s="12" t="n">
        <f aca="false">Revenue!D9</f>
        <v>37953.4119195845</v>
      </c>
      <c r="E8" s="12" t="n">
        <f aca="false">Revenue!E9</f>
        <v>38442.573629107</v>
      </c>
      <c r="F8" s="12" t="n">
        <f aca="false">Revenue!F9</f>
        <v>38931.7353386295</v>
      </c>
      <c r="G8" s="12" t="n">
        <f aca="false">Revenue!G9</f>
        <v>39420.8970481521</v>
      </c>
      <c r="H8" s="12" t="n">
        <f aca="false">Revenue!H9</f>
        <v>39910.0587576745</v>
      </c>
      <c r="I8" s="12" t="n">
        <f aca="false">Revenue!I9</f>
        <v>40399.2204671971</v>
      </c>
      <c r="J8" s="12" t="n">
        <f aca="false">Revenue!J9</f>
        <v>40888.3821767195</v>
      </c>
      <c r="K8" s="12" t="n">
        <f aca="false">Revenue!K9</f>
        <v>41377.5438862421</v>
      </c>
      <c r="L8" s="12" t="n">
        <f aca="false">Revenue!L9</f>
        <v>41866.7055957645</v>
      </c>
      <c r="M8" s="12" t="n">
        <f aca="false">Revenue!M9</f>
        <v>42355.867305287</v>
      </c>
      <c r="N8" s="12" t="n">
        <f aca="false">Revenue!N9</f>
        <v>42845.0290148096</v>
      </c>
      <c r="O8" s="12" t="n">
        <f aca="false">Revenue!O9</f>
        <v>69646.3468500554</v>
      </c>
      <c r="P8" s="12" t="n">
        <f aca="false">Revenue!P9</f>
        <v>70487.0935382972</v>
      </c>
      <c r="Q8" s="12" t="n">
        <f aca="false">Revenue!Q9</f>
        <v>71327.840226539</v>
      </c>
      <c r="R8" s="12" t="n">
        <f aca="false">Revenue!R9</f>
        <v>72168.5869147808</v>
      </c>
      <c r="S8" s="12" t="n">
        <f aca="false">Revenue!S9</f>
        <v>73009.3336030226</v>
      </c>
      <c r="T8" s="12" t="n">
        <f aca="false">Revenue!T9</f>
        <v>73850.0802912644</v>
      </c>
      <c r="U8" s="12" t="n">
        <f aca="false">Revenue!U9</f>
        <v>74690.8269795062</v>
      </c>
      <c r="V8" s="12" t="n">
        <f aca="false">Revenue!V9</f>
        <v>75531.573667748</v>
      </c>
      <c r="W8" s="12" t="n">
        <f aca="false">Revenue!W9</f>
        <v>76372.3203559898</v>
      </c>
      <c r="X8" s="12" t="n">
        <f aca="false">Revenue!X9</f>
        <v>77213.0670442316</v>
      </c>
      <c r="Y8" s="12" t="n">
        <f aca="false">Revenue!Y9</f>
        <v>78053.8137324734</v>
      </c>
      <c r="Z8" s="12" t="n">
        <f aca="false">Revenue!Z9</f>
        <v>78894.5604207152</v>
      </c>
      <c r="AA8" s="12" t="n">
        <f aca="false">Revenue!AA9</f>
        <v>121682.222671704</v>
      </c>
      <c r="AB8" s="12" t="n">
        <f aca="false">Revenue!AB9</f>
        <v>123083.467152108</v>
      </c>
      <c r="AC8" s="12" t="n">
        <f aca="false">Revenue!AC9</f>
        <v>124484.71163251</v>
      </c>
      <c r="AD8" s="12" t="n">
        <f aca="false">Revenue!AD9</f>
        <v>125885.956112913</v>
      </c>
      <c r="AE8" s="12" t="n">
        <f aca="false">Revenue!AE9</f>
        <v>127287.200593317</v>
      </c>
      <c r="AF8" s="12" t="n">
        <f aca="false">Revenue!AF9</f>
        <v>128688.445073719</v>
      </c>
      <c r="AG8" s="12" t="n">
        <f aca="false">Revenue!AG9</f>
        <v>130089.689554123</v>
      </c>
      <c r="AH8" s="12" t="n">
        <f aca="false">Revenue!AH9</f>
        <v>131490.934034525</v>
      </c>
      <c r="AI8" s="12" t="n">
        <f aca="false">Revenue!AI9</f>
        <v>132892.178514929</v>
      </c>
      <c r="AJ8" s="12" t="n">
        <f aca="false">Revenue!AJ9</f>
        <v>134293.422995332</v>
      </c>
      <c r="AK8" s="12" t="n">
        <f aca="false">Revenue!AK9</f>
        <v>135694.667475734</v>
      </c>
      <c r="AL8" s="12" t="n">
        <f aca="false">Revenue!AL9</f>
        <v>137095.911956138</v>
      </c>
    </row>
    <row r="9" customFormat="false" ht="15" hidden="false" customHeight="false" outlineLevel="0" collapsed="false">
      <c r="B9" s="8" t="s">
        <v>337</v>
      </c>
      <c r="C9" s="12" t="n">
        <f aca="false">Revenue!C16</f>
        <v>14400</v>
      </c>
      <c r="D9" s="12" t="n">
        <f aca="false">Revenue!D16</f>
        <v>17018.1818181818</v>
      </c>
      <c r="E9" s="12" t="n">
        <f aca="false">Revenue!E16</f>
        <v>22254.5454545455</v>
      </c>
      <c r="F9" s="12" t="n">
        <f aca="false">Revenue!F16</f>
        <v>27490.9090909091</v>
      </c>
      <c r="G9" s="12" t="n">
        <f aca="false">Revenue!G16</f>
        <v>32727.2727272727</v>
      </c>
      <c r="H9" s="12" t="n">
        <f aca="false">Revenue!H16</f>
        <v>37963.6363636364</v>
      </c>
      <c r="I9" s="12" t="n">
        <f aca="false">Revenue!I16</f>
        <v>43200</v>
      </c>
      <c r="J9" s="12" t="n">
        <f aca="false">Revenue!J16</f>
        <v>48436.3636363636</v>
      </c>
      <c r="K9" s="12" t="n">
        <f aca="false">Revenue!K16</f>
        <v>53672.7272727273</v>
      </c>
      <c r="L9" s="12" t="n">
        <f aca="false">Revenue!L16</f>
        <v>58909.0909090909</v>
      </c>
      <c r="M9" s="12" t="n">
        <f aca="false">Revenue!M16</f>
        <v>64145.4545454545</v>
      </c>
      <c r="N9" s="12" t="n">
        <f aca="false">Revenue!N16</f>
        <v>69381.8181818182</v>
      </c>
      <c r="O9" s="12" t="n">
        <f aca="false">Revenue!O16</f>
        <v>76500</v>
      </c>
      <c r="P9" s="12" t="n">
        <f aca="false">Revenue!P16</f>
        <v>85500</v>
      </c>
      <c r="Q9" s="12" t="n">
        <f aca="false">Revenue!Q16</f>
        <v>94500</v>
      </c>
      <c r="R9" s="12" t="n">
        <f aca="false">Revenue!R16</f>
        <v>103500</v>
      </c>
      <c r="S9" s="12" t="n">
        <f aca="false">Revenue!S16</f>
        <v>112500</v>
      </c>
      <c r="T9" s="12" t="n">
        <f aca="false">Revenue!T16</f>
        <v>121500</v>
      </c>
      <c r="U9" s="12" t="n">
        <f aca="false">Revenue!U16</f>
        <v>130500</v>
      </c>
      <c r="V9" s="12" t="n">
        <f aca="false">Revenue!V16</f>
        <v>139500</v>
      </c>
      <c r="W9" s="12" t="n">
        <f aca="false">Revenue!W16</f>
        <v>148500</v>
      </c>
      <c r="X9" s="12" t="n">
        <f aca="false">Revenue!X16</f>
        <v>157500</v>
      </c>
      <c r="Y9" s="12" t="n">
        <f aca="false">Revenue!Y16</f>
        <v>166500</v>
      </c>
      <c r="Z9" s="12" t="n">
        <f aca="false">Revenue!Z16</f>
        <v>175500</v>
      </c>
      <c r="AA9" s="12" t="n">
        <f aca="false">Revenue!AA16</f>
        <v>187500</v>
      </c>
      <c r="AB9" s="12" t="n">
        <f aca="false">Revenue!AB16</f>
        <v>202500</v>
      </c>
      <c r="AC9" s="12" t="n">
        <f aca="false">Revenue!AC16</f>
        <v>217500</v>
      </c>
      <c r="AD9" s="12" t="n">
        <f aca="false">Revenue!AD16</f>
        <v>232500</v>
      </c>
      <c r="AE9" s="12" t="n">
        <f aca="false">Revenue!AE16</f>
        <v>247500</v>
      </c>
      <c r="AF9" s="12" t="n">
        <f aca="false">Revenue!AF16</f>
        <v>262500</v>
      </c>
      <c r="AG9" s="12" t="n">
        <f aca="false">Revenue!AG16</f>
        <v>277500</v>
      </c>
      <c r="AH9" s="12" t="n">
        <f aca="false">Revenue!AH16</f>
        <v>292500</v>
      </c>
      <c r="AI9" s="12" t="n">
        <f aca="false">Revenue!AI16</f>
        <v>307500</v>
      </c>
      <c r="AJ9" s="12" t="n">
        <f aca="false">Revenue!AJ16</f>
        <v>322500</v>
      </c>
      <c r="AK9" s="12" t="n">
        <f aca="false">Revenue!AK16</f>
        <v>337500</v>
      </c>
      <c r="AL9" s="12" t="n">
        <f aca="false">Revenue!AL16</f>
        <v>352500</v>
      </c>
    </row>
    <row r="10" customFormat="false" ht="15" hidden="false" customHeight="false" outlineLevel="0" collapsed="false">
      <c r="B10" s="8" t="s">
        <v>283</v>
      </c>
      <c r="C10" s="12" t="n">
        <f aca="false">Revenue!C19</f>
        <v>2500</v>
      </c>
      <c r="D10" s="12" t="n">
        <f aca="false">Revenue!D19</f>
        <v>4659.09090909091</v>
      </c>
      <c r="E10" s="12" t="n">
        <f aca="false">Revenue!E19</f>
        <v>8977.27272727273</v>
      </c>
      <c r="F10" s="12" t="n">
        <f aca="false">Revenue!F19</f>
        <v>13295.4545454545</v>
      </c>
      <c r="G10" s="12" t="n">
        <f aca="false">Revenue!G19</f>
        <v>17613.6363636364</v>
      </c>
      <c r="H10" s="12" t="n">
        <f aca="false">Revenue!H19</f>
        <v>21931.8181818182</v>
      </c>
      <c r="I10" s="12" t="n">
        <f aca="false">Revenue!I19</f>
        <v>26250</v>
      </c>
      <c r="J10" s="12" t="n">
        <f aca="false">Revenue!J19</f>
        <v>30568.1818181818</v>
      </c>
      <c r="K10" s="12" t="n">
        <f aca="false">Revenue!K19</f>
        <v>34886.3636363636</v>
      </c>
      <c r="L10" s="12" t="n">
        <f aca="false">Revenue!L19</f>
        <v>39204.5454545455</v>
      </c>
      <c r="M10" s="12" t="n">
        <f aca="false">Revenue!M19</f>
        <v>43522.7272727273</v>
      </c>
      <c r="N10" s="12" t="n">
        <f aca="false">Revenue!N19</f>
        <v>47840.9090909091</v>
      </c>
      <c r="O10" s="12" t="n">
        <f aca="false">Revenue!O19</f>
        <v>54166.6666666667</v>
      </c>
      <c r="P10" s="12" t="n">
        <f aca="false">Revenue!P19</f>
        <v>62500</v>
      </c>
      <c r="Q10" s="12" t="n">
        <f aca="false">Revenue!Q19</f>
        <v>70833.3333333333</v>
      </c>
      <c r="R10" s="12" t="n">
        <f aca="false">Revenue!R19</f>
        <v>79166.6666666667</v>
      </c>
      <c r="S10" s="12" t="n">
        <f aca="false">Revenue!S19</f>
        <v>87500</v>
      </c>
      <c r="T10" s="12" t="n">
        <f aca="false">Revenue!T19</f>
        <v>95833.3333333333</v>
      </c>
      <c r="U10" s="12" t="n">
        <f aca="false">Revenue!U19</f>
        <v>104166.666666667</v>
      </c>
      <c r="V10" s="12" t="n">
        <f aca="false">Revenue!V19</f>
        <v>112500</v>
      </c>
      <c r="W10" s="12" t="n">
        <f aca="false">Revenue!W19</f>
        <v>120833.333333333</v>
      </c>
      <c r="X10" s="12" t="n">
        <f aca="false">Revenue!X19</f>
        <v>129166.666666667</v>
      </c>
      <c r="Y10" s="12" t="n">
        <f aca="false">Revenue!Y19</f>
        <v>137500</v>
      </c>
      <c r="Z10" s="12" t="n">
        <f aca="false">Revenue!Z19</f>
        <v>145833.333333333</v>
      </c>
      <c r="AA10" s="12" t="n">
        <f aca="false">Revenue!AA19</f>
        <v>156250</v>
      </c>
      <c r="AB10" s="12" t="n">
        <f aca="false">Revenue!AB19</f>
        <v>168750</v>
      </c>
      <c r="AC10" s="12" t="n">
        <f aca="false">Revenue!AC19</f>
        <v>181250</v>
      </c>
      <c r="AD10" s="12" t="n">
        <f aca="false">Revenue!AD19</f>
        <v>193750</v>
      </c>
      <c r="AE10" s="12" t="n">
        <f aca="false">Revenue!AE19</f>
        <v>206250</v>
      </c>
      <c r="AF10" s="12" t="n">
        <f aca="false">Revenue!AF19</f>
        <v>218750</v>
      </c>
      <c r="AG10" s="12" t="n">
        <f aca="false">Revenue!AG19</f>
        <v>231250</v>
      </c>
      <c r="AH10" s="12" t="n">
        <f aca="false">Revenue!AH19</f>
        <v>243750</v>
      </c>
      <c r="AI10" s="12" t="n">
        <f aca="false">Revenue!AI19</f>
        <v>256250</v>
      </c>
      <c r="AJ10" s="12" t="n">
        <f aca="false">Revenue!AJ19</f>
        <v>268750</v>
      </c>
      <c r="AK10" s="12" t="n">
        <f aca="false">Revenue!AK19</f>
        <v>281250</v>
      </c>
      <c r="AL10" s="12" t="n">
        <f aca="false">Revenue!AL19</f>
        <v>293750</v>
      </c>
    </row>
    <row r="11" customFormat="false" ht="15" hidden="false" customHeight="false" outlineLevel="0" collapsed="false">
      <c r="B11" s="10" t="s">
        <v>338</v>
      </c>
      <c r="C11" s="30" t="n">
        <f aca="false">SUM(C7:C10)</f>
        <v>92445.1947011869</v>
      </c>
      <c r="D11" s="30" t="n">
        <f aca="false">SUM(D7:D10)</f>
        <v>147321.593737766</v>
      </c>
      <c r="E11" s="30" t="n">
        <f aca="false">SUM(E7:E10)</f>
        <v>184347.119083652</v>
      </c>
      <c r="F11" s="30" t="n">
        <f aca="false">SUM(F7:F10)</f>
        <v>221372.644429539</v>
      </c>
      <c r="G11" s="30" t="n">
        <f aca="false">SUM(G7:G10)</f>
        <v>258398.169775425</v>
      </c>
      <c r="H11" s="30" t="n">
        <f aca="false">SUM(H7:H10)</f>
        <v>295423.695121311</v>
      </c>
      <c r="I11" s="30" t="n">
        <f aca="false">SUM(I7:I10)</f>
        <v>332449.220467197</v>
      </c>
      <c r="J11" s="30" t="n">
        <f aca="false">SUM(J7:J10)</f>
        <v>369474.745813083</v>
      </c>
      <c r="K11" s="30" t="n">
        <f aca="false">SUM(K7:K10)</f>
        <v>406500.271158969</v>
      </c>
      <c r="L11" s="30" t="n">
        <f aca="false">SUM(L7:L10)</f>
        <v>443525.796504855</v>
      </c>
      <c r="M11" s="30" t="n">
        <f aca="false">SUM(M7:M10)</f>
        <v>480551.321850742</v>
      </c>
      <c r="N11" s="30" t="n">
        <f aca="false">SUM(N7:N10)</f>
        <v>517576.847196628</v>
      </c>
      <c r="O11" s="30" t="n">
        <f aca="false">SUM(O7:O10)</f>
        <v>594500.513516722</v>
      </c>
      <c r="P11" s="30" t="n">
        <f aca="false">SUM(P7:P10)</f>
        <v>659049.593538297</v>
      </c>
      <c r="Q11" s="30" t="n">
        <f aca="false">SUM(Q7:Q10)</f>
        <v>723598.673559872</v>
      </c>
      <c r="R11" s="30" t="n">
        <f aca="false">SUM(R7:R10)</f>
        <v>788147.753581447</v>
      </c>
      <c r="S11" s="30" t="n">
        <f aca="false">SUM(S7:S10)</f>
        <v>852696.833603023</v>
      </c>
      <c r="T11" s="30" t="n">
        <f aca="false">SUM(T7:T10)</f>
        <v>917245.913624598</v>
      </c>
      <c r="U11" s="30" t="n">
        <f aca="false">SUM(U7:U10)</f>
        <v>981794.993646173</v>
      </c>
      <c r="V11" s="30" t="n">
        <f aca="false">SUM(V7:V10)</f>
        <v>1046344.07366775</v>
      </c>
      <c r="W11" s="30" t="n">
        <f aca="false">SUM(W7:W10)</f>
        <v>1110893.15368932</v>
      </c>
      <c r="X11" s="30" t="n">
        <f aca="false">SUM(X7:X10)</f>
        <v>1175442.2337109</v>
      </c>
      <c r="Y11" s="30" t="n">
        <f aca="false">SUM(Y7:Y10)</f>
        <v>1239991.31373247</v>
      </c>
      <c r="Z11" s="30" t="n">
        <f aca="false">SUM(Z7:Z10)</f>
        <v>1304540.39375405</v>
      </c>
      <c r="AA11" s="30" t="n">
        <f aca="false">SUM(AA7:AA10)</f>
        <v>1431578.05600504</v>
      </c>
      <c r="AB11" s="30" t="n">
        <f aca="false">SUM(AB7:AB10)</f>
        <v>1537770.96715211</v>
      </c>
      <c r="AC11" s="30" t="n">
        <f aca="false">SUM(AC7:AC10)</f>
        <v>1643963.87829918</v>
      </c>
      <c r="AD11" s="30" t="n">
        <f aca="false">SUM(AD7:AD10)</f>
        <v>1750156.78944625</v>
      </c>
      <c r="AE11" s="30" t="n">
        <f aca="false">SUM(AE7:AE10)</f>
        <v>1856349.70059332</v>
      </c>
      <c r="AF11" s="30" t="n">
        <f aca="false">SUM(AF7:AF10)</f>
        <v>1962542.61174039</v>
      </c>
      <c r="AG11" s="30" t="n">
        <f aca="false">SUM(AG7:AG10)</f>
        <v>2068735.52288746</v>
      </c>
      <c r="AH11" s="30" t="n">
        <f aca="false">SUM(AH7:AH10)</f>
        <v>2174928.43403453</v>
      </c>
      <c r="AI11" s="30" t="n">
        <f aca="false">SUM(AI7:AI10)</f>
        <v>2281121.3451816</v>
      </c>
      <c r="AJ11" s="30" t="n">
        <f aca="false">SUM(AJ7:AJ10)</f>
        <v>2387314.25632867</v>
      </c>
      <c r="AK11" s="30" t="n">
        <f aca="false">SUM(AK7:AK10)</f>
        <v>2493507.16747573</v>
      </c>
      <c r="AL11" s="30" t="n">
        <f aca="false">SUM(AL7:AL10)</f>
        <v>2599700.0786228</v>
      </c>
    </row>
    <row r="12" customFormat="false" ht="15" hidden="false" customHeight="false" outlineLevel="0" collapsed="false">
      <c r="B12" s="8" t="s">
        <v>339</v>
      </c>
      <c r="C12" s="12" t="n">
        <f aca="false">COGS!C21</f>
        <v>30225.0225077023</v>
      </c>
      <c r="D12" s="12" t="n">
        <f aca="false">COGS!D21</f>
        <v>37032.9811454663</v>
      </c>
      <c r="E12" s="12" t="n">
        <f aca="false">COGS!E21</f>
        <v>48467.0802391762</v>
      </c>
      <c r="F12" s="12" t="n">
        <f aca="false">COGS!F21</f>
        <v>59901.1793328862</v>
      </c>
      <c r="G12" s="12" t="n">
        <f aca="false">COGS!G21</f>
        <v>71335.2784265961</v>
      </c>
      <c r="H12" s="12" t="n">
        <f aca="false">COGS!H21</f>
        <v>82769.377520306</v>
      </c>
      <c r="I12" s="12" t="n">
        <f aca="false">COGS!I21</f>
        <v>94203.4766140159</v>
      </c>
      <c r="J12" s="12" t="n">
        <f aca="false">COGS!J21</f>
        <v>105637.575707726</v>
      </c>
      <c r="K12" s="12" t="n">
        <f aca="false">COGS!K21</f>
        <v>117071.674801436</v>
      </c>
      <c r="L12" s="12" t="n">
        <f aca="false">COGS!L21</f>
        <v>128505.773895146</v>
      </c>
      <c r="M12" s="12" t="n">
        <f aca="false">COGS!M21</f>
        <v>139939.872988856</v>
      </c>
      <c r="N12" s="12" t="n">
        <f aca="false">COGS!N21</f>
        <v>151373.972082566</v>
      </c>
      <c r="O12" s="12" t="n">
        <f aca="false">COGS!O21</f>
        <v>167760.536238835</v>
      </c>
      <c r="P12" s="12" t="n">
        <f aca="false">COGS!P21</f>
        <v>187531.383639482</v>
      </c>
      <c r="Q12" s="12" t="n">
        <f aca="false">COGS!Q21</f>
        <v>207302.23104013</v>
      </c>
      <c r="R12" s="12" t="n">
        <f aca="false">COGS!R21</f>
        <v>227073.078440777</v>
      </c>
      <c r="S12" s="12" t="n">
        <f aca="false">COGS!S21</f>
        <v>246843.925841424</v>
      </c>
      <c r="T12" s="12" t="n">
        <f aca="false">COGS!T21</f>
        <v>266614.773242071</v>
      </c>
      <c r="U12" s="12" t="n">
        <f aca="false">COGS!U21</f>
        <v>286385.620642719</v>
      </c>
      <c r="V12" s="12" t="n">
        <f aca="false">COGS!V21</f>
        <v>306156.468043366</v>
      </c>
      <c r="W12" s="12" t="n">
        <f aca="false">COGS!W21</f>
        <v>325927.315444013</v>
      </c>
      <c r="X12" s="12" t="n">
        <f aca="false">COGS!X21</f>
        <v>345698.16284466</v>
      </c>
      <c r="Y12" s="12" t="n">
        <f aca="false">COGS!Y21</f>
        <v>365469.010245308</v>
      </c>
      <c r="Z12" s="12" t="n">
        <f aca="false">COGS!Z21</f>
        <v>385239.857645955</v>
      </c>
      <c r="AA12" s="12" t="n">
        <f aca="false">COGS!AA21</f>
        <v>412760.709735707</v>
      </c>
      <c r="AB12" s="12" t="n">
        <f aca="false">COGS!AB21</f>
        <v>445531.566514563</v>
      </c>
      <c r="AC12" s="12" t="n">
        <f aca="false">COGS!AC21</f>
        <v>478302.42329342</v>
      </c>
      <c r="AD12" s="12" t="n">
        <f aca="false">COGS!AD21</f>
        <v>511073.280072276</v>
      </c>
      <c r="AE12" s="12" t="n">
        <f aca="false">COGS!AE21</f>
        <v>543844.136851133</v>
      </c>
      <c r="AF12" s="12" t="n">
        <f aca="false">COGS!AF21</f>
        <v>576614.993629989</v>
      </c>
      <c r="AG12" s="12" t="n">
        <f aca="false">COGS!AG21</f>
        <v>609385.850408846</v>
      </c>
      <c r="AH12" s="12" t="n">
        <f aca="false">COGS!AH21</f>
        <v>642156.707187702</v>
      </c>
      <c r="AI12" s="12" t="n">
        <f aca="false">COGS!AI21</f>
        <v>674927.563966559</v>
      </c>
      <c r="AJ12" s="12" t="n">
        <f aca="false">COGS!AJ21</f>
        <v>707698.420745416</v>
      </c>
      <c r="AK12" s="12" t="n">
        <f aca="false">COGS!AK21</f>
        <v>740469.277524272</v>
      </c>
      <c r="AL12" s="12" t="n">
        <f aca="false">COGS!AL21</f>
        <v>773240.134303129</v>
      </c>
    </row>
    <row r="13" customFormat="false" ht="15" hidden="false" customHeight="false" outlineLevel="0" collapsed="false">
      <c r="B13" s="10" t="s">
        <v>11</v>
      </c>
      <c r="C13" s="30" t="n">
        <f aca="false">C11-C12</f>
        <v>62220.1721934846</v>
      </c>
      <c r="D13" s="30" t="n">
        <f aca="false">D11-D12</f>
        <v>110288.6125923</v>
      </c>
      <c r="E13" s="30" t="n">
        <f aca="false">E11-E12</f>
        <v>135880.038844476</v>
      </c>
      <c r="F13" s="30" t="n">
        <f aca="false">F11-F12</f>
        <v>161471.465096652</v>
      </c>
      <c r="G13" s="30" t="n">
        <f aca="false">G11-G12</f>
        <v>187062.891348829</v>
      </c>
      <c r="H13" s="30" t="n">
        <f aca="false">H11-H12</f>
        <v>212654.317601005</v>
      </c>
      <c r="I13" s="30" t="n">
        <f aca="false">I11-I12</f>
        <v>238245.743853181</v>
      </c>
      <c r="J13" s="30" t="n">
        <f aca="false">J11-J12</f>
        <v>263837.170105357</v>
      </c>
      <c r="K13" s="30" t="n">
        <f aca="false">K11-K12</f>
        <v>289428.596357534</v>
      </c>
      <c r="L13" s="30" t="n">
        <f aca="false">L11-L12</f>
        <v>315020.02260971</v>
      </c>
      <c r="M13" s="30" t="n">
        <f aca="false">M11-M12</f>
        <v>340611.448861886</v>
      </c>
      <c r="N13" s="30" t="n">
        <f aca="false">N11-N12</f>
        <v>366202.875114062</v>
      </c>
      <c r="O13" s="30" t="n">
        <f aca="false">O11-O12</f>
        <v>426739.977277887</v>
      </c>
      <c r="P13" s="30" t="n">
        <f aca="false">P11-P12</f>
        <v>471518.209898815</v>
      </c>
      <c r="Q13" s="30" t="n">
        <f aca="false">Q11-Q12</f>
        <v>516296.442519743</v>
      </c>
      <c r="R13" s="30" t="n">
        <f aca="false">R11-R12</f>
        <v>561074.675140671</v>
      </c>
      <c r="S13" s="30" t="n">
        <f aca="false">S11-S12</f>
        <v>605852.907761599</v>
      </c>
      <c r="T13" s="30" t="n">
        <f aca="false">T11-T12</f>
        <v>650631.140382526</v>
      </c>
      <c r="U13" s="30" t="n">
        <f aca="false">U11-U12</f>
        <v>695409.373003454</v>
      </c>
      <c r="V13" s="30" t="n">
        <f aca="false">V11-V12</f>
        <v>740187.605624382</v>
      </c>
      <c r="W13" s="30" t="n">
        <f aca="false">W11-W12</f>
        <v>784965.83824531</v>
      </c>
      <c r="X13" s="30" t="n">
        <f aca="false">X11-X12</f>
        <v>829744.070866238</v>
      </c>
      <c r="Y13" s="30" t="n">
        <f aca="false">Y11-Y12</f>
        <v>874522.303487166</v>
      </c>
      <c r="Z13" s="30" t="n">
        <f aca="false">Z11-Z12</f>
        <v>919300.536108094</v>
      </c>
      <c r="AA13" s="30" t="n">
        <f aca="false">AA11-AA12</f>
        <v>1018817.34626933</v>
      </c>
      <c r="AB13" s="30" t="n">
        <f aca="false">AB11-AB12</f>
        <v>1092239.40063754</v>
      </c>
      <c r="AC13" s="30" t="n">
        <f aca="false">AC11-AC12</f>
        <v>1165661.45500576</v>
      </c>
      <c r="AD13" s="30" t="n">
        <f aca="false">AD11-AD12</f>
        <v>1239083.50937397</v>
      </c>
      <c r="AE13" s="30" t="n">
        <f aca="false">AE11-AE12</f>
        <v>1312505.56374218</v>
      </c>
      <c r="AF13" s="30" t="n">
        <f aca="false">AF11-AF12</f>
        <v>1385927.6181104</v>
      </c>
      <c r="AG13" s="30" t="n">
        <f aca="false">AG11-AG12</f>
        <v>1459349.67247861</v>
      </c>
      <c r="AH13" s="30" t="n">
        <f aca="false">AH11-AH12</f>
        <v>1532771.72684682</v>
      </c>
      <c r="AI13" s="30" t="n">
        <f aca="false">AI11-AI12</f>
        <v>1606193.78121504</v>
      </c>
      <c r="AJ13" s="30" t="n">
        <f aca="false">AJ11-AJ12</f>
        <v>1679615.83558325</v>
      </c>
      <c r="AK13" s="30" t="n">
        <f aca="false">AK11-AK12</f>
        <v>1753037.88995146</v>
      </c>
      <c r="AL13" s="30" t="n">
        <f aca="false">AL11-AL12</f>
        <v>1826459.94431968</v>
      </c>
    </row>
    <row r="14" customFormat="false" ht="15" hidden="false" customHeight="false" outlineLevel="0" collapsed="false">
      <c r="B14" s="8" t="s">
        <v>12</v>
      </c>
      <c r="C14" s="24" t="n">
        <f aca="false">IFERROR(C13/C11,0)</f>
        <v>0.67304928498015</v>
      </c>
      <c r="D14" s="24" t="n">
        <f aca="false">IFERROR(D13/D11,0)</f>
        <v>0.748624894654715</v>
      </c>
      <c r="E14" s="24" t="n">
        <f aca="false">IFERROR(E13/E11,0)</f>
        <v>0.737087943223116</v>
      </c>
      <c r="F14" s="24" t="n">
        <f aca="false">IFERROR(F13/F11,0)</f>
        <v>0.729410201123778</v>
      </c>
      <c r="G14" s="24" t="n">
        <f aca="false">IFERROR(G13/G11,0)</f>
        <v>0.723932725651293</v>
      </c>
      <c r="H14" s="24" t="n">
        <f aca="false">IFERROR(H13/H11,0)</f>
        <v>0.719828236911335</v>
      </c>
      <c r="I14" s="24" t="n">
        <f aca="false">IFERROR(I13/I11,0)</f>
        <v>0.716637998183211</v>
      </c>
      <c r="J14" s="24" t="n">
        <f aca="false">IFERROR(J13/J11,0)</f>
        <v>0.714087155063183</v>
      </c>
      <c r="K14" s="24" t="n">
        <f aca="false">IFERROR(K13/K11,0)</f>
        <v>0.712000992108434</v>
      </c>
      <c r="L14" s="24" t="n">
        <f aca="false">IFERROR(L13/L11,0)</f>
        <v>0.710263134843976</v>
      </c>
      <c r="M14" s="24" t="n">
        <f aca="false">IFERROR(M13/M11,0)</f>
        <v>0.708793074483893</v>
      </c>
      <c r="N14" s="24" t="n">
        <f aca="false">IFERROR(N13/N11,0)</f>
        <v>0.707533339440397</v>
      </c>
      <c r="O14" s="24" t="n">
        <f aca="false">IFERROR(O13/O11,0)</f>
        <v>0.717812630225565</v>
      </c>
      <c r="P14" s="24" t="n">
        <f aca="false">IFERROR(P13/P11,0)</f>
        <v>0.71545178772865</v>
      </c>
      <c r="Q14" s="24" t="n">
        <f aca="false">IFERROR(Q13/Q11,0)</f>
        <v>0.713512146145502</v>
      </c>
      <c r="R14" s="24" t="n">
        <f aca="false">IFERROR(R13/R11,0)</f>
        <v>0.711890216765922</v>
      </c>
      <c r="S14" s="24" t="n">
        <f aca="false">IFERROR(S13/S11,0)</f>
        <v>0.71051384722704</v>
      </c>
      <c r="T14" s="24" t="n">
        <f aca="false">IFERROR(T13/T11,0)</f>
        <v>0.709331195395013</v>
      </c>
      <c r="U14" s="24" t="n">
        <f aca="false">IFERROR(U13/U11,0)</f>
        <v>0.708304052784844</v>
      </c>
      <c r="V14" s="24" t="n">
        <f aca="false">IFERROR(V13/V11,0)</f>
        <v>0.707403639253964</v>
      </c>
      <c r="W14" s="24" t="n">
        <f aca="false">IFERROR(W13/W11,0)</f>
        <v>0.706607863806168</v>
      </c>
      <c r="X14" s="24" t="n">
        <f aca="false">IFERROR(X13/X11,0)</f>
        <v>0.705899487928655</v>
      </c>
      <c r="Y14" s="24" t="n">
        <f aca="false">IFERROR(Y13/Y11,0)</f>
        <v>0.705264862585838</v>
      </c>
      <c r="Z14" s="24" t="n">
        <f aca="false">IFERROR(Z13/Z11,0)</f>
        <v>0.704693040176887</v>
      </c>
      <c r="AA14" s="24" t="n">
        <f aca="false">IFERROR(AA13/AA11,0)</f>
        <v>0.711674324704615</v>
      </c>
      <c r="AB14" s="24" t="n">
        <f aca="false">IFERROR(AB13/AB11,0)</f>
        <v>0.710274432258485</v>
      </c>
      <c r="AC14" s="24" t="n">
        <f aca="false">IFERROR(AC13/AC11,0)</f>
        <v>0.709055393730265</v>
      </c>
      <c r="AD14" s="24" t="n">
        <f aca="false">IFERROR(AD13/AD11,0)</f>
        <v>0.70798428851967</v>
      </c>
      <c r="AE14" s="24" t="n">
        <f aca="false">IFERROR(AE13/AE11,0)</f>
        <v>0.707035728948424</v>
      </c>
      <c r="AF14" s="24" t="n">
        <f aca="false">IFERROR(AF13/AF11,0)</f>
        <v>0.70618982223339</v>
      </c>
      <c r="AG14" s="24" t="n">
        <f aca="false">IFERROR(AG13/AG11,0)</f>
        <v>0.70543076015909</v>
      </c>
      <c r="AH14" s="24" t="n">
        <f aca="false">IFERROR(AH13/AH11,0)</f>
        <v>0.704745821913555</v>
      </c>
      <c r="AI14" s="24" t="n">
        <f aca="false">IFERROR(AI13/AI11,0)</f>
        <v>0.704124655449739</v>
      </c>
      <c r="AJ14" s="24" t="n">
        <f aca="false">IFERROR(AJ13/AJ11,0)</f>
        <v>0.703558750646532</v>
      </c>
      <c r="AK14" s="24" t="n">
        <f aca="false">IFERROR(AK13/AK11,0)</f>
        <v>0.703041047091164</v>
      </c>
      <c r="AL14" s="24" t="n">
        <f aca="false">IFERROR(AL13/AL11,0)</f>
        <v>0.702565637989766</v>
      </c>
    </row>
    <row r="16" customFormat="false" ht="15" hidden="false" customHeight="false" outlineLevel="0" collapsed="false">
      <c r="B16" s="8" t="s">
        <v>340</v>
      </c>
      <c r="C16" s="12" t="n">
        <f aca="false">Headcount!C16</f>
        <v>121898.333333333</v>
      </c>
      <c r="D16" s="12" t="n">
        <f aca="false">Headcount!D16</f>
        <v>121898.333333333</v>
      </c>
      <c r="E16" s="12" t="n">
        <f aca="false">Headcount!E16</f>
        <v>121898.333333333</v>
      </c>
      <c r="F16" s="12" t="n">
        <f aca="false">Headcount!F16</f>
        <v>121898.333333333</v>
      </c>
      <c r="G16" s="12" t="n">
        <f aca="false">Headcount!G16</f>
        <v>121898.333333333</v>
      </c>
      <c r="H16" s="12" t="n">
        <f aca="false">Headcount!H16</f>
        <v>121898.333333333</v>
      </c>
      <c r="I16" s="12" t="n">
        <f aca="false">Headcount!I16</f>
        <v>121898.333333333</v>
      </c>
      <c r="J16" s="12" t="n">
        <f aca="false">Headcount!J16</f>
        <v>121898.333333333</v>
      </c>
      <c r="K16" s="12" t="n">
        <f aca="false">Headcount!K16</f>
        <v>121898.333333333</v>
      </c>
      <c r="L16" s="12" t="n">
        <f aca="false">Headcount!L16</f>
        <v>121898.333333333</v>
      </c>
      <c r="M16" s="12" t="n">
        <f aca="false">Headcount!M16</f>
        <v>121898.333333333</v>
      </c>
      <c r="N16" s="12" t="n">
        <f aca="false">Headcount!N16</f>
        <v>121898.333333333</v>
      </c>
      <c r="O16" s="12" t="n">
        <f aca="false">Headcount!O16</f>
        <v>125744.722222222</v>
      </c>
      <c r="P16" s="12" t="n">
        <f aca="false">Headcount!P16</f>
        <v>129591.111111111</v>
      </c>
      <c r="Q16" s="12" t="n">
        <f aca="false">Headcount!Q16</f>
        <v>133437.5</v>
      </c>
      <c r="R16" s="12" t="n">
        <f aca="false">Headcount!R16</f>
        <v>137283.888888889</v>
      </c>
      <c r="S16" s="12" t="n">
        <f aca="false">Headcount!S16</f>
        <v>141130.277777778</v>
      </c>
      <c r="T16" s="12" t="n">
        <f aca="false">Headcount!T16</f>
        <v>144976.666666667</v>
      </c>
      <c r="U16" s="12" t="n">
        <f aca="false">Headcount!U16</f>
        <v>148823.055555556</v>
      </c>
      <c r="V16" s="12" t="n">
        <f aca="false">Headcount!V16</f>
        <v>152669.444444444</v>
      </c>
      <c r="W16" s="12" t="n">
        <f aca="false">Headcount!W16</f>
        <v>156515.833333333</v>
      </c>
      <c r="X16" s="12" t="n">
        <f aca="false">Headcount!X16</f>
        <v>160362.222222222</v>
      </c>
      <c r="Y16" s="12" t="n">
        <f aca="false">Headcount!Y16</f>
        <v>164208.611111111</v>
      </c>
      <c r="Z16" s="12" t="n">
        <f aca="false">Headcount!Z16</f>
        <v>168055</v>
      </c>
      <c r="AA16" s="12" t="n">
        <f aca="false">Headcount!AA16</f>
        <v>172536.805555556</v>
      </c>
      <c r="AB16" s="12" t="n">
        <f aca="false">Headcount!AB16</f>
        <v>177018.611111111</v>
      </c>
      <c r="AC16" s="12" t="n">
        <f aca="false">Headcount!AC16</f>
        <v>181500.416666667</v>
      </c>
      <c r="AD16" s="12" t="n">
        <f aca="false">Headcount!AD16</f>
        <v>185982.222222222</v>
      </c>
      <c r="AE16" s="12" t="n">
        <f aca="false">Headcount!AE16</f>
        <v>190464.027777778</v>
      </c>
      <c r="AF16" s="12" t="n">
        <f aca="false">Headcount!AF16</f>
        <v>194945.833333333</v>
      </c>
      <c r="AG16" s="12" t="n">
        <f aca="false">Headcount!AG16</f>
        <v>199427.638888889</v>
      </c>
      <c r="AH16" s="12" t="n">
        <f aca="false">Headcount!AH16</f>
        <v>203909.444444444</v>
      </c>
      <c r="AI16" s="12" t="n">
        <f aca="false">Headcount!AI16</f>
        <v>208391.25</v>
      </c>
      <c r="AJ16" s="12" t="n">
        <f aca="false">Headcount!AJ16</f>
        <v>212873.055555556</v>
      </c>
      <c r="AK16" s="12" t="n">
        <f aca="false">Headcount!AK16</f>
        <v>217354.861111111</v>
      </c>
      <c r="AL16" s="12" t="n">
        <f aca="false">Headcount!AL16</f>
        <v>221836.666666667</v>
      </c>
    </row>
    <row r="17" customFormat="false" ht="15" hidden="false" customHeight="false" outlineLevel="0" collapsed="false">
      <c r="B17" s="8" t="s">
        <v>341</v>
      </c>
      <c r="C17" s="21" t="n">
        <f aca="false">Fixed_OpEx!C8+Fixed_OpEx!C9+Fixed_OpEx!C10</f>
        <v>7000</v>
      </c>
      <c r="D17" s="21" t="n">
        <f aca="false">Fixed_OpEx!D8+Fixed_OpEx!D9+Fixed_OpEx!D10</f>
        <v>7000</v>
      </c>
      <c r="E17" s="21" t="n">
        <f aca="false">Fixed_OpEx!E8+Fixed_OpEx!E9+Fixed_OpEx!E10</f>
        <v>7000</v>
      </c>
      <c r="F17" s="21" t="n">
        <f aca="false">Fixed_OpEx!F8+Fixed_OpEx!F9+Fixed_OpEx!F10</f>
        <v>7000</v>
      </c>
      <c r="G17" s="21" t="n">
        <f aca="false">Fixed_OpEx!G8+Fixed_OpEx!G9+Fixed_OpEx!G10</f>
        <v>7000</v>
      </c>
      <c r="H17" s="21" t="n">
        <f aca="false">Fixed_OpEx!H8+Fixed_OpEx!H9+Fixed_OpEx!H10</f>
        <v>7000</v>
      </c>
      <c r="I17" s="21" t="n">
        <f aca="false">Fixed_OpEx!I8+Fixed_OpEx!I9+Fixed_OpEx!I10</f>
        <v>67000</v>
      </c>
      <c r="J17" s="21" t="n">
        <f aca="false">Fixed_OpEx!J8+Fixed_OpEx!J9+Fixed_OpEx!J10</f>
        <v>67000</v>
      </c>
      <c r="K17" s="21" t="n">
        <f aca="false">Fixed_OpEx!K8+Fixed_OpEx!K9+Fixed_OpEx!K10</f>
        <v>67000</v>
      </c>
      <c r="L17" s="21" t="n">
        <f aca="false">Fixed_OpEx!L8+Fixed_OpEx!L9+Fixed_OpEx!L10</f>
        <v>67000</v>
      </c>
      <c r="M17" s="21" t="n">
        <f aca="false">Fixed_OpEx!M8+Fixed_OpEx!M9+Fixed_OpEx!M10</f>
        <v>67000</v>
      </c>
      <c r="N17" s="21" t="n">
        <f aca="false">Fixed_OpEx!N8+Fixed_OpEx!N9+Fixed_OpEx!N10</f>
        <v>67000</v>
      </c>
      <c r="O17" s="21" t="n">
        <f aca="false">Fixed_OpEx!O8+Fixed_OpEx!O9+Fixed_OpEx!O10</f>
        <v>67000</v>
      </c>
      <c r="P17" s="21" t="n">
        <f aca="false">Fixed_OpEx!P8+Fixed_OpEx!P9+Fixed_OpEx!P10</f>
        <v>67000</v>
      </c>
      <c r="Q17" s="21" t="n">
        <f aca="false">Fixed_OpEx!Q8+Fixed_OpEx!Q9+Fixed_OpEx!Q10</f>
        <v>67000</v>
      </c>
      <c r="R17" s="21" t="n">
        <f aca="false">Fixed_OpEx!R8+Fixed_OpEx!R9+Fixed_OpEx!R10</f>
        <v>74000</v>
      </c>
      <c r="S17" s="21" t="n">
        <f aca="false">Fixed_OpEx!S8+Fixed_OpEx!S9+Fixed_OpEx!S10</f>
        <v>74000</v>
      </c>
      <c r="T17" s="21" t="n">
        <f aca="false">Fixed_OpEx!T8+Fixed_OpEx!T9+Fixed_OpEx!T10</f>
        <v>74000</v>
      </c>
      <c r="U17" s="21" t="n">
        <f aca="false">Fixed_OpEx!U8+Fixed_OpEx!U9+Fixed_OpEx!U10</f>
        <v>74000</v>
      </c>
      <c r="V17" s="21" t="n">
        <f aca="false">Fixed_OpEx!V8+Fixed_OpEx!V9+Fixed_OpEx!V10</f>
        <v>74000</v>
      </c>
      <c r="W17" s="21" t="n">
        <f aca="false">Fixed_OpEx!W8+Fixed_OpEx!W9+Fixed_OpEx!W10</f>
        <v>74000</v>
      </c>
      <c r="X17" s="21" t="n">
        <f aca="false">Fixed_OpEx!X8+Fixed_OpEx!X9+Fixed_OpEx!X10</f>
        <v>134000</v>
      </c>
      <c r="Y17" s="21" t="n">
        <f aca="false">Fixed_OpEx!Y8+Fixed_OpEx!Y9+Fixed_OpEx!Y10</f>
        <v>134000</v>
      </c>
      <c r="Z17" s="21" t="n">
        <f aca="false">Fixed_OpEx!Z8+Fixed_OpEx!Z9+Fixed_OpEx!Z10</f>
        <v>134000</v>
      </c>
      <c r="AA17" s="21" t="n">
        <f aca="false">Fixed_OpEx!AA8+Fixed_OpEx!AA9+Fixed_OpEx!AA10</f>
        <v>134000</v>
      </c>
      <c r="AB17" s="21" t="n">
        <f aca="false">Fixed_OpEx!AB8+Fixed_OpEx!AB9+Fixed_OpEx!AB10</f>
        <v>134000</v>
      </c>
      <c r="AC17" s="21" t="n">
        <f aca="false">Fixed_OpEx!AC8+Fixed_OpEx!AC9+Fixed_OpEx!AC10</f>
        <v>141000</v>
      </c>
      <c r="AD17" s="21" t="n">
        <f aca="false">Fixed_OpEx!AD8+Fixed_OpEx!AD9+Fixed_OpEx!AD10</f>
        <v>141000</v>
      </c>
      <c r="AE17" s="21" t="n">
        <f aca="false">Fixed_OpEx!AE8+Fixed_OpEx!AE9+Fixed_OpEx!AE10</f>
        <v>141000</v>
      </c>
      <c r="AF17" s="21" t="n">
        <f aca="false">Fixed_OpEx!AF8+Fixed_OpEx!AF9+Fixed_OpEx!AF10</f>
        <v>141000</v>
      </c>
      <c r="AG17" s="21" t="n">
        <f aca="false">Fixed_OpEx!AG8+Fixed_OpEx!AG9+Fixed_OpEx!AG10</f>
        <v>141000</v>
      </c>
      <c r="AH17" s="21" t="n">
        <f aca="false">Fixed_OpEx!AH8+Fixed_OpEx!AH9+Fixed_OpEx!AH10</f>
        <v>141000</v>
      </c>
      <c r="AI17" s="21" t="n">
        <f aca="false">Fixed_OpEx!AI8+Fixed_OpEx!AI9+Fixed_OpEx!AI10</f>
        <v>201000</v>
      </c>
      <c r="AJ17" s="21" t="n">
        <f aca="false">Fixed_OpEx!AJ8+Fixed_OpEx!AJ9+Fixed_OpEx!AJ10</f>
        <v>201000</v>
      </c>
      <c r="AK17" s="21" t="n">
        <f aca="false">Fixed_OpEx!AK8+Fixed_OpEx!AK9+Fixed_OpEx!AK10</f>
        <v>201000</v>
      </c>
      <c r="AL17" s="21" t="n">
        <f aca="false">Fixed_OpEx!AL8+Fixed_OpEx!AL9+Fixed_OpEx!AL10</f>
        <v>201000</v>
      </c>
    </row>
    <row r="18" customFormat="false" ht="15" hidden="false" customHeight="false" outlineLevel="0" collapsed="false">
      <c r="B18" s="8" t="s">
        <v>342</v>
      </c>
      <c r="C18" s="21" t="n">
        <f aca="false">Fixed_OpEx!C11+Fixed_OpEx!C12+Fixed_OpEx!C13</f>
        <v>16800</v>
      </c>
      <c r="D18" s="21" t="n">
        <f aca="false">Fixed_OpEx!D11+Fixed_OpEx!D12+Fixed_OpEx!D13</f>
        <v>16800</v>
      </c>
      <c r="E18" s="21" t="n">
        <f aca="false">Fixed_OpEx!E11+Fixed_OpEx!E12+Fixed_OpEx!E13</f>
        <v>16800</v>
      </c>
      <c r="F18" s="21" t="n">
        <f aca="false">Fixed_OpEx!F11+Fixed_OpEx!F12+Fixed_OpEx!F13</f>
        <v>16800</v>
      </c>
      <c r="G18" s="21" t="n">
        <f aca="false">Fixed_OpEx!G11+Fixed_OpEx!G12+Fixed_OpEx!G13</f>
        <v>16800</v>
      </c>
      <c r="H18" s="21" t="n">
        <f aca="false">Fixed_OpEx!H11+Fixed_OpEx!H12+Fixed_OpEx!H13</f>
        <v>16800</v>
      </c>
      <c r="I18" s="21" t="n">
        <f aca="false">Fixed_OpEx!I11+Fixed_OpEx!I12+Fixed_OpEx!I13</f>
        <v>16800</v>
      </c>
      <c r="J18" s="21" t="n">
        <f aca="false">Fixed_OpEx!J11+Fixed_OpEx!J12+Fixed_OpEx!J13</f>
        <v>16800</v>
      </c>
      <c r="K18" s="21" t="n">
        <f aca="false">Fixed_OpEx!K11+Fixed_OpEx!K12+Fixed_OpEx!K13</f>
        <v>16800</v>
      </c>
      <c r="L18" s="21" t="n">
        <f aca="false">Fixed_OpEx!L11+Fixed_OpEx!L12+Fixed_OpEx!L13</f>
        <v>16800</v>
      </c>
      <c r="M18" s="21" t="n">
        <f aca="false">Fixed_OpEx!M11+Fixed_OpEx!M12+Fixed_OpEx!M13</f>
        <v>16800</v>
      </c>
      <c r="N18" s="21" t="n">
        <f aca="false">Fixed_OpEx!N11+Fixed_OpEx!N12+Fixed_OpEx!N13</f>
        <v>16800</v>
      </c>
      <c r="O18" s="21" t="n">
        <f aca="false">Fixed_OpEx!O11+Fixed_OpEx!O12+Fixed_OpEx!O13</f>
        <v>16800</v>
      </c>
      <c r="P18" s="21" t="n">
        <f aca="false">Fixed_OpEx!P11+Fixed_OpEx!P12+Fixed_OpEx!P13</f>
        <v>16800</v>
      </c>
      <c r="Q18" s="21" t="n">
        <f aca="false">Fixed_OpEx!Q11+Fixed_OpEx!Q12+Fixed_OpEx!Q13</f>
        <v>16800</v>
      </c>
      <c r="R18" s="21" t="n">
        <f aca="false">Fixed_OpEx!R11+Fixed_OpEx!R12+Fixed_OpEx!R13</f>
        <v>23620</v>
      </c>
      <c r="S18" s="21" t="n">
        <f aca="false">Fixed_OpEx!S11+Fixed_OpEx!S12+Fixed_OpEx!S13</f>
        <v>23620</v>
      </c>
      <c r="T18" s="21" t="n">
        <f aca="false">Fixed_OpEx!T11+Fixed_OpEx!T12+Fixed_OpEx!T13</f>
        <v>23620</v>
      </c>
      <c r="U18" s="21" t="n">
        <f aca="false">Fixed_OpEx!U11+Fixed_OpEx!U12+Fixed_OpEx!U13</f>
        <v>23620</v>
      </c>
      <c r="V18" s="21" t="n">
        <f aca="false">Fixed_OpEx!V11+Fixed_OpEx!V12+Fixed_OpEx!V13</f>
        <v>23620</v>
      </c>
      <c r="W18" s="21" t="n">
        <f aca="false">Fixed_OpEx!W11+Fixed_OpEx!W12+Fixed_OpEx!W13</f>
        <v>23620</v>
      </c>
      <c r="X18" s="21" t="n">
        <f aca="false">Fixed_OpEx!X11+Fixed_OpEx!X12+Fixed_OpEx!X13</f>
        <v>23620</v>
      </c>
      <c r="Y18" s="21" t="n">
        <f aca="false">Fixed_OpEx!Y11+Fixed_OpEx!Y12+Fixed_OpEx!Y13</f>
        <v>23620</v>
      </c>
      <c r="Z18" s="21" t="n">
        <f aca="false">Fixed_OpEx!Z11+Fixed_OpEx!Z12+Fixed_OpEx!Z13</f>
        <v>23620</v>
      </c>
      <c r="AA18" s="21" t="n">
        <f aca="false">Fixed_OpEx!AA11+Fixed_OpEx!AA12+Fixed_OpEx!AA13</f>
        <v>23620</v>
      </c>
      <c r="AB18" s="21" t="n">
        <f aca="false">Fixed_OpEx!AB11+Fixed_OpEx!AB12+Fixed_OpEx!AB13</f>
        <v>23620</v>
      </c>
      <c r="AC18" s="21" t="n">
        <f aca="false">Fixed_OpEx!AC11+Fixed_OpEx!AC12+Fixed_OpEx!AC13</f>
        <v>30440</v>
      </c>
      <c r="AD18" s="21" t="n">
        <f aca="false">Fixed_OpEx!AD11+Fixed_OpEx!AD12+Fixed_OpEx!AD13</f>
        <v>30440</v>
      </c>
      <c r="AE18" s="21" t="n">
        <f aca="false">Fixed_OpEx!AE11+Fixed_OpEx!AE12+Fixed_OpEx!AE13</f>
        <v>30440</v>
      </c>
      <c r="AF18" s="21" t="n">
        <f aca="false">Fixed_OpEx!AF11+Fixed_OpEx!AF12+Fixed_OpEx!AF13</f>
        <v>30440</v>
      </c>
      <c r="AG18" s="21" t="n">
        <f aca="false">Fixed_OpEx!AG11+Fixed_OpEx!AG12+Fixed_OpEx!AG13</f>
        <v>30440</v>
      </c>
      <c r="AH18" s="21" t="n">
        <f aca="false">Fixed_OpEx!AH11+Fixed_OpEx!AH12+Fixed_OpEx!AH13</f>
        <v>30440</v>
      </c>
      <c r="AI18" s="21" t="n">
        <f aca="false">Fixed_OpEx!AI11+Fixed_OpEx!AI12+Fixed_OpEx!AI13</f>
        <v>30440</v>
      </c>
      <c r="AJ18" s="21" t="n">
        <f aca="false">Fixed_OpEx!AJ11+Fixed_OpEx!AJ12+Fixed_OpEx!AJ13</f>
        <v>30440</v>
      </c>
      <c r="AK18" s="21" t="n">
        <f aca="false">Fixed_OpEx!AK11+Fixed_OpEx!AK12+Fixed_OpEx!AK13</f>
        <v>30440</v>
      </c>
      <c r="AL18" s="21" t="n">
        <f aca="false">Fixed_OpEx!AL11+Fixed_OpEx!AL12+Fixed_OpEx!AL13</f>
        <v>30440</v>
      </c>
    </row>
    <row r="19" customFormat="false" ht="15" hidden="false" customHeight="false" outlineLevel="0" collapsed="false">
      <c r="B19" s="8" t="s">
        <v>322</v>
      </c>
      <c r="C19" s="12" t="n">
        <f aca="false">Fixed_OpEx!C14</f>
        <v>20000</v>
      </c>
      <c r="D19" s="12" t="n">
        <f aca="false">Fixed_OpEx!D14</f>
        <v>20000</v>
      </c>
      <c r="E19" s="12" t="n">
        <f aca="false">Fixed_OpEx!E14</f>
        <v>20000</v>
      </c>
      <c r="F19" s="12" t="n">
        <f aca="false">Fixed_OpEx!F14</f>
        <v>20000</v>
      </c>
      <c r="G19" s="12" t="n">
        <f aca="false">Fixed_OpEx!G14</f>
        <v>20000</v>
      </c>
      <c r="H19" s="12" t="n">
        <f aca="false">Fixed_OpEx!H14</f>
        <v>20000</v>
      </c>
      <c r="I19" s="12" t="n">
        <f aca="false">Fixed_OpEx!I14</f>
        <v>20000</v>
      </c>
      <c r="J19" s="12" t="n">
        <f aca="false">Fixed_OpEx!J14</f>
        <v>20000</v>
      </c>
      <c r="K19" s="12" t="n">
        <f aca="false">Fixed_OpEx!K14</f>
        <v>20000</v>
      </c>
      <c r="L19" s="12" t="n">
        <f aca="false">Fixed_OpEx!L14</f>
        <v>20000</v>
      </c>
      <c r="M19" s="12" t="n">
        <f aca="false">Fixed_OpEx!M14</f>
        <v>20000</v>
      </c>
      <c r="N19" s="12" t="n">
        <f aca="false">Fixed_OpEx!N14</f>
        <v>20000</v>
      </c>
      <c r="O19" s="12" t="n">
        <f aca="false">Fixed_OpEx!O14</f>
        <v>29725.0256758361</v>
      </c>
      <c r="P19" s="12" t="n">
        <f aca="false">Fixed_OpEx!P14</f>
        <v>32952.4796769149</v>
      </c>
      <c r="Q19" s="12" t="n">
        <f aca="false">Fixed_OpEx!Q14</f>
        <v>36179.9336779936</v>
      </c>
      <c r="R19" s="12" t="n">
        <f aca="false">Fixed_OpEx!R14</f>
        <v>39407.3876790724</v>
      </c>
      <c r="S19" s="12" t="n">
        <f aca="false">Fixed_OpEx!S14</f>
        <v>42634.8416801511</v>
      </c>
      <c r="T19" s="12" t="n">
        <f aca="false">Fixed_OpEx!T14</f>
        <v>45862.2956812299</v>
      </c>
      <c r="U19" s="12" t="n">
        <f aca="false">Fixed_OpEx!U14</f>
        <v>49089.7496823086</v>
      </c>
      <c r="V19" s="12" t="n">
        <f aca="false">Fixed_OpEx!V14</f>
        <v>52317.2036833874</v>
      </c>
      <c r="W19" s="12" t="n">
        <f aca="false">Fixed_OpEx!W14</f>
        <v>55544.6576844662</v>
      </c>
      <c r="X19" s="12" t="n">
        <f aca="false">Fixed_OpEx!X14</f>
        <v>58772.1116855449</v>
      </c>
      <c r="Y19" s="12" t="n">
        <f aca="false">Fixed_OpEx!Y14</f>
        <v>61999.5656866237</v>
      </c>
      <c r="Z19" s="12" t="n">
        <f aca="false">Fixed_OpEx!Z14</f>
        <v>65227.0196877024</v>
      </c>
      <c r="AA19" s="12" t="n">
        <f aca="false">Fixed_OpEx!AA14</f>
        <v>71578.9028002519</v>
      </c>
      <c r="AB19" s="12" t="n">
        <f aca="false">Fixed_OpEx!AB14</f>
        <v>76888.5483576054</v>
      </c>
      <c r="AC19" s="12" t="n">
        <f aca="false">Fixed_OpEx!AC14</f>
        <v>82198.1939149589</v>
      </c>
      <c r="AD19" s="12" t="n">
        <f aca="false">Fixed_OpEx!AD14</f>
        <v>87507.8394723123</v>
      </c>
      <c r="AE19" s="12" t="n">
        <f aca="false">Fixed_OpEx!AE14</f>
        <v>92817.4850296658</v>
      </c>
      <c r="AF19" s="12" t="n">
        <f aca="false">Fixed_OpEx!AF14</f>
        <v>98127.1305870193</v>
      </c>
      <c r="AG19" s="12" t="n">
        <f aca="false">Fixed_OpEx!AG14</f>
        <v>103436.776144373</v>
      </c>
      <c r="AH19" s="12" t="n">
        <f aca="false">Fixed_OpEx!AH14</f>
        <v>108746.421701726</v>
      </c>
      <c r="AI19" s="12" t="n">
        <f aca="false">Fixed_OpEx!AI14</f>
        <v>114056.06725908</v>
      </c>
      <c r="AJ19" s="12" t="n">
        <f aca="false">Fixed_OpEx!AJ14</f>
        <v>119365.712816433</v>
      </c>
      <c r="AK19" s="12" t="n">
        <f aca="false">Fixed_OpEx!AK14</f>
        <v>124675.358373787</v>
      </c>
      <c r="AL19" s="12" t="n">
        <f aca="false">Fixed_OpEx!AL14</f>
        <v>129985.00393114</v>
      </c>
    </row>
    <row r="20" customFormat="false" ht="15" hidden="false" customHeight="false" outlineLevel="0" collapsed="false">
      <c r="B20" s="8" t="s">
        <v>343</v>
      </c>
      <c r="C20" s="21" t="n">
        <f aca="false">Member_Build!C12*Drivers!$E$23+Member_Build!C20*Drivers!$E$33</f>
        <v>386.181061744489</v>
      </c>
      <c r="D20" s="21" t="n">
        <f aca="false">Member_Build!D12*Drivers!$E$23+Member_Build!D20*Drivers!$E$33</f>
        <v>14718.083610362</v>
      </c>
      <c r="E20" s="21" t="n">
        <f aca="false">Member_Build!E12*Drivers!$E$23+Member_Build!E20*Drivers!$E$33</f>
        <v>15018.2523439606</v>
      </c>
      <c r="F20" s="21" t="n">
        <f aca="false">Member_Build!F12*Drivers!$E$23+Member_Build!F20*Drivers!$E$33</f>
        <v>15318.4210775592</v>
      </c>
      <c r="G20" s="21" t="n">
        <f aca="false">Member_Build!G12*Drivers!$E$23+Member_Build!G20*Drivers!$E$33</f>
        <v>15618.5898111578</v>
      </c>
      <c r="H20" s="21" t="n">
        <f aca="false">Member_Build!H12*Drivers!$E$23+Member_Build!H20*Drivers!$E$33</f>
        <v>15918.7585447564</v>
      </c>
      <c r="I20" s="21" t="n">
        <f aca="false">Member_Build!I12*Drivers!$E$23+Member_Build!I20*Drivers!$E$33</f>
        <v>16218.927278355</v>
      </c>
      <c r="J20" s="21" t="n">
        <f aca="false">Member_Build!J12*Drivers!$E$23+Member_Build!J20*Drivers!$E$33</f>
        <v>16519.0960119536</v>
      </c>
      <c r="K20" s="21" t="n">
        <f aca="false">Member_Build!K12*Drivers!$E$23+Member_Build!K20*Drivers!$E$33</f>
        <v>16819.2647455522</v>
      </c>
      <c r="L20" s="21" t="n">
        <f aca="false">Member_Build!L12*Drivers!$E$23+Member_Build!L20*Drivers!$E$33</f>
        <v>17119.4334791508</v>
      </c>
      <c r="M20" s="21" t="n">
        <f aca="false">Member_Build!M12*Drivers!$E$23+Member_Build!M20*Drivers!$E$33</f>
        <v>17419.6022127494</v>
      </c>
      <c r="N20" s="21" t="n">
        <f aca="false">Member_Build!N12*Drivers!$E$23+Member_Build!N20*Drivers!$E$33</f>
        <v>17719.770946348</v>
      </c>
      <c r="O20" s="21" t="n">
        <f aca="false">Member_Build!O12*Drivers!$E$23+Member_Build!O20*Drivers!$E$33</f>
        <v>29800.6820026651</v>
      </c>
      <c r="P20" s="21" t="n">
        <f aca="false">Member_Build!P12*Drivers!$E$23+Member_Build!P20*Drivers!$E$33</f>
        <v>30359.3050786705</v>
      </c>
      <c r="Q20" s="21" t="n">
        <f aca="false">Member_Build!Q12*Drivers!$E$23+Member_Build!Q20*Drivers!$E$33</f>
        <v>30917.9281546759</v>
      </c>
      <c r="R20" s="21" t="n">
        <f aca="false">Member_Build!R12*Drivers!$E$23+Member_Build!R20*Drivers!$E$33</f>
        <v>31476.5512306813</v>
      </c>
      <c r="S20" s="21" t="n">
        <f aca="false">Member_Build!S12*Drivers!$E$23+Member_Build!S20*Drivers!$E$33</f>
        <v>32035.1743066867</v>
      </c>
      <c r="T20" s="21" t="n">
        <f aca="false">Member_Build!T12*Drivers!$E$23+Member_Build!T20*Drivers!$E$33</f>
        <v>32593.7973826921</v>
      </c>
      <c r="U20" s="21" t="n">
        <f aca="false">Member_Build!U12*Drivers!$E$23+Member_Build!U20*Drivers!$E$33</f>
        <v>33152.4204586975</v>
      </c>
      <c r="V20" s="21" t="n">
        <f aca="false">Member_Build!V12*Drivers!$E$23+Member_Build!V20*Drivers!$E$33</f>
        <v>33711.0435347029</v>
      </c>
      <c r="W20" s="21" t="n">
        <f aca="false">Member_Build!W12*Drivers!$E$23+Member_Build!W20*Drivers!$E$33</f>
        <v>34269.6666107083</v>
      </c>
      <c r="X20" s="21" t="n">
        <f aca="false">Member_Build!X12*Drivers!$E$23+Member_Build!X20*Drivers!$E$33</f>
        <v>34828.2896867137</v>
      </c>
      <c r="Y20" s="21" t="n">
        <f aca="false">Member_Build!Y12*Drivers!$E$23+Member_Build!Y20*Drivers!$E$33</f>
        <v>35386.9127627191</v>
      </c>
      <c r="Z20" s="21" t="n">
        <f aca="false">Member_Build!Z12*Drivers!$E$23+Member_Build!Z20*Drivers!$E$33</f>
        <v>35945.5358387245</v>
      </c>
      <c r="AA20" s="21" t="n">
        <f aca="false">Member_Build!AA12*Drivers!$E$23+Member_Build!AA20*Drivers!$E$33</f>
        <v>51657.8271285352</v>
      </c>
      <c r="AB20" s="21" t="n">
        <f aca="false">Member_Build!AB12*Drivers!$E$23+Member_Build!AB20*Drivers!$E$33</f>
        <v>52523.7866321515</v>
      </c>
      <c r="AC20" s="21" t="n">
        <f aca="false">Member_Build!AC12*Drivers!$E$23+Member_Build!AC20*Drivers!$E$33</f>
        <v>53389.7461357676</v>
      </c>
      <c r="AD20" s="21" t="n">
        <f aca="false">Member_Build!AD12*Drivers!$E$23+Member_Build!AD20*Drivers!$E$33</f>
        <v>54255.7056393837</v>
      </c>
      <c r="AE20" s="21" t="n">
        <f aca="false">Member_Build!AE12*Drivers!$E$23+Member_Build!AE20*Drivers!$E$33</f>
        <v>55121.6651429999</v>
      </c>
      <c r="AF20" s="21" t="n">
        <f aca="false">Member_Build!AF12*Drivers!$E$23+Member_Build!AF20*Drivers!$E$33</f>
        <v>55987.624646616</v>
      </c>
      <c r="AG20" s="21" t="n">
        <f aca="false">Member_Build!AG12*Drivers!$E$23+Member_Build!AG20*Drivers!$E$33</f>
        <v>56853.5841502322</v>
      </c>
      <c r="AH20" s="21" t="n">
        <f aca="false">Member_Build!AH12*Drivers!$E$23+Member_Build!AH20*Drivers!$E$33</f>
        <v>57719.5436538483</v>
      </c>
      <c r="AI20" s="21" t="n">
        <f aca="false">Member_Build!AI12*Drivers!$E$23+Member_Build!AI20*Drivers!$E$33</f>
        <v>58585.5031574645</v>
      </c>
      <c r="AJ20" s="21" t="n">
        <f aca="false">Member_Build!AJ12*Drivers!$E$23+Member_Build!AJ20*Drivers!$E$33</f>
        <v>59451.4626610807</v>
      </c>
      <c r="AK20" s="21" t="n">
        <f aca="false">Member_Build!AK12*Drivers!$E$23+Member_Build!AK20*Drivers!$E$33</f>
        <v>60317.4221646967</v>
      </c>
      <c r="AL20" s="21" t="n">
        <f aca="false">Member_Build!AL12*Drivers!$E$23+Member_Build!AL20*Drivers!$E$33</f>
        <v>61183.381668313</v>
      </c>
    </row>
    <row r="21" customFormat="false" ht="15" hidden="false" customHeight="false" outlineLevel="0" collapsed="false">
      <c r="B21" s="10" t="s">
        <v>344</v>
      </c>
      <c r="C21" s="30" t="n">
        <f aca="false">SUM(C16:C20)</f>
        <v>166084.514395078</v>
      </c>
      <c r="D21" s="30" t="n">
        <f aca="false">SUM(D16:D20)</f>
        <v>180416.416943695</v>
      </c>
      <c r="E21" s="30" t="n">
        <f aca="false">SUM(E16:E20)</f>
        <v>180716.585677294</v>
      </c>
      <c r="F21" s="30" t="n">
        <f aca="false">SUM(F16:F20)</f>
        <v>181016.754410893</v>
      </c>
      <c r="G21" s="30" t="n">
        <f aca="false">SUM(G16:G20)</f>
        <v>181316.923144491</v>
      </c>
      <c r="H21" s="30" t="n">
        <f aca="false">SUM(H16:H20)</f>
        <v>181617.09187809</v>
      </c>
      <c r="I21" s="30" t="n">
        <f aca="false">SUM(I16:I20)</f>
        <v>241917.260611688</v>
      </c>
      <c r="J21" s="30" t="n">
        <f aca="false">SUM(J16:J20)</f>
        <v>242217.429345287</v>
      </c>
      <c r="K21" s="30" t="n">
        <f aca="false">SUM(K16:K20)</f>
        <v>242517.598078886</v>
      </c>
      <c r="L21" s="30" t="n">
        <f aca="false">SUM(L16:L20)</f>
        <v>242817.766812484</v>
      </c>
      <c r="M21" s="30" t="n">
        <f aca="false">SUM(M16:M20)</f>
        <v>243117.935546083</v>
      </c>
      <c r="N21" s="30" t="n">
        <f aca="false">SUM(N16:N20)</f>
        <v>243418.104279681</v>
      </c>
      <c r="O21" s="30" t="n">
        <f aca="false">SUM(O16:O20)</f>
        <v>269070.429900723</v>
      </c>
      <c r="P21" s="30" t="n">
        <f aca="false">SUM(P16:P20)</f>
        <v>276702.895866697</v>
      </c>
      <c r="Q21" s="30" t="n">
        <f aca="false">SUM(Q16:Q20)</f>
        <v>284335.36183267</v>
      </c>
      <c r="R21" s="30" t="n">
        <f aca="false">SUM(R16:R20)</f>
        <v>305787.827798643</v>
      </c>
      <c r="S21" s="30" t="n">
        <f aca="false">SUM(S16:S20)</f>
        <v>313420.293764616</v>
      </c>
      <c r="T21" s="30" t="n">
        <f aca="false">SUM(T16:T20)</f>
        <v>321052.759730589</v>
      </c>
      <c r="U21" s="30" t="n">
        <f aca="false">SUM(U16:U20)</f>
        <v>328685.225696562</v>
      </c>
      <c r="V21" s="30" t="n">
        <f aca="false">SUM(V16:V20)</f>
        <v>336317.691662535</v>
      </c>
      <c r="W21" s="30" t="n">
        <f aca="false">SUM(W16:W20)</f>
        <v>343950.157628508</v>
      </c>
      <c r="X21" s="30" t="n">
        <f aca="false">SUM(X16:X20)</f>
        <v>411582.623594481</v>
      </c>
      <c r="Y21" s="30" t="n">
        <f aca="false">SUM(Y16:Y20)</f>
        <v>419215.089560454</v>
      </c>
      <c r="Z21" s="30" t="n">
        <f aca="false">SUM(Z16:Z20)</f>
        <v>426847.555526427</v>
      </c>
      <c r="AA21" s="30" t="n">
        <f aca="false">SUM(AA16:AA20)</f>
        <v>453393.535484343</v>
      </c>
      <c r="AB21" s="30" t="n">
        <f aca="false">SUM(AB16:AB20)</f>
        <v>464050.946100868</v>
      </c>
      <c r="AC21" s="30" t="n">
        <f aca="false">SUM(AC16:AC20)</f>
        <v>488528.356717393</v>
      </c>
      <c r="AD21" s="30" t="n">
        <f aca="false">SUM(AD16:AD20)</f>
        <v>499185.767333918</v>
      </c>
      <c r="AE21" s="30" t="n">
        <f aca="false">SUM(AE16:AE20)</f>
        <v>509843.177950444</v>
      </c>
      <c r="AF21" s="30" t="n">
        <f aca="false">SUM(AF16:AF20)</f>
        <v>520500.588566969</v>
      </c>
      <c r="AG21" s="30" t="n">
        <f aca="false">SUM(AG16:AG20)</f>
        <v>531157.999183494</v>
      </c>
      <c r="AH21" s="30" t="n">
        <f aca="false">SUM(AH16:AH20)</f>
        <v>541815.409800019</v>
      </c>
      <c r="AI21" s="30" t="n">
        <f aca="false">SUM(AI16:AI20)</f>
        <v>612472.820416544</v>
      </c>
      <c r="AJ21" s="30" t="n">
        <f aca="false">SUM(AJ16:AJ20)</f>
        <v>623130.23103307</v>
      </c>
      <c r="AK21" s="30" t="n">
        <f aca="false">SUM(AK16:AK20)</f>
        <v>633787.641649595</v>
      </c>
      <c r="AL21" s="30" t="n">
        <f aca="false">SUM(AL16:AL20)</f>
        <v>644445.05226612</v>
      </c>
    </row>
    <row r="23" customFormat="false" ht="15" hidden="false" customHeight="false" outlineLevel="0" collapsed="false">
      <c r="B23" s="10" t="s">
        <v>15</v>
      </c>
      <c r="C23" s="30" t="n">
        <f aca="false">C13-C21</f>
        <v>-103864.342201593</v>
      </c>
      <c r="D23" s="30" t="n">
        <f aca="false">D13-D21</f>
        <v>-70127.8043513953</v>
      </c>
      <c r="E23" s="30" t="n">
        <f aca="false">E13-E21</f>
        <v>-44836.5468328177</v>
      </c>
      <c r="F23" s="30" t="n">
        <f aca="false">F13-F21</f>
        <v>-19545.2893142401</v>
      </c>
      <c r="G23" s="30" t="n">
        <f aca="false">G13-G21</f>
        <v>5745.96820433761</v>
      </c>
      <c r="H23" s="30" t="n">
        <f aca="false">H13-H21</f>
        <v>31037.2257229152</v>
      </c>
      <c r="I23" s="30" t="n">
        <f aca="false">I13-I21</f>
        <v>-3671.51675850718</v>
      </c>
      <c r="J23" s="30" t="n">
        <f aca="false">J13-J21</f>
        <v>21619.7407600704</v>
      </c>
      <c r="K23" s="30" t="n">
        <f aca="false">K13-K21</f>
        <v>46910.9982786481</v>
      </c>
      <c r="L23" s="30" t="n">
        <f aca="false">L13-L21</f>
        <v>72202.2557972256</v>
      </c>
      <c r="M23" s="30" t="n">
        <f aca="false">M13-M21</f>
        <v>97493.5133158033</v>
      </c>
      <c r="N23" s="30" t="n">
        <f aca="false">N13-N21</f>
        <v>122784.770834381</v>
      </c>
      <c r="O23" s="30" t="n">
        <f aca="false">O13-O21</f>
        <v>157669.547377164</v>
      </c>
      <c r="P23" s="30" t="n">
        <f aca="false">P13-P21</f>
        <v>194815.314032118</v>
      </c>
      <c r="Q23" s="30" t="n">
        <f aca="false">Q13-Q21</f>
        <v>231961.080687073</v>
      </c>
      <c r="R23" s="30" t="n">
        <f aca="false">R13-R21</f>
        <v>255286.847342028</v>
      </c>
      <c r="S23" s="30" t="n">
        <f aca="false">S13-S21</f>
        <v>292432.613996983</v>
      </c>
      <c r="T23" s="30" t="n">
        <f aca="false">T13-T21</f>
        <v>329578.380651938</v>
      </c>
      <c r="U23" s="30" t="n">
        <f aca="false">U13-U21</f>
        <v>366724.147306893</v>
      </c>
      <c r="V23" s="30" t="n">
        <f aca="false">V13-V21</f>
        <v>403869.913961848</v>
      </c>
      <c r="W23" s="30" t="n">
        <f aca="false">W13-W21</f>
        <v>441015.680616802</v>
      </c>
      <c r="X23" s="30" t="n">
        <f aca="false">X13-X21</f>
        <v>418161.447271757</v>
      </c>
      <c r="Y23" s="30" t="n">
        <f aca="false">Y13-Y21</f>
        <v>455307.213926712</v>
      </c>
      <c r="Z23" s="30" t="n">
        <f aca="false">Z13-Z21</f>
        <v>492452.980581667</v>
      </c>
      <c r="AA23" s="30" t="n">
        <f aca="false">AA13-AA21</f>
        <v>565423.810784988</v>
      </c>
      <c r="AB23" s="30" t="n">
        <f aca="false">AB13-AB21</f>
        <v>628188.454536676</v>
      </c>
      <c r="AC23" s="30" t="n">
        <f aca="false">AC13-AC21</f>
        <v>677133.098288364</v>
      </c>
      <c r="AD23" s="30" t="n">
        <f aca="false">AD13-AD21</f>
        <v>739897.742040052</v>
      </c>
      <c r="AE23" s="30" t="n">
        <f aca="false">AE13-AE21</f>
        <v>802662.38579174</v>
      </c>
      <c r="AF23" s="30" t="n">
        <f aca="false">AF13-AF21</f>
        <v>865427.029543428</v>
      </c>
      <c r="AG23" s="30" t="n">
        <f aca="false">AG13-AG21</f>
        <v>928191.673295116</v>
      </c>
      <c r="AH23" s="30" t="n">
        <f aca="false">AH13-AH21</f>
        <v>990956.317046804</v>
      </c>
      <c r="AI23" s="30" t="n">
        <f aca="false">AI13-AI21</f>
        <v>993720.960798492</v>
      </c>
      <c r="AJ23" s="30" t="n">
        <f aca="false">AJ13-AJ21</f>
        <v>1056485.60455018</v>
      </c>
      <c r="AK23" s="30" t="n">
        <f aca="false">AK13-AK21</f>
        <v>1119250.24830187</v>
      </c>
      <c r="AL23" s="30" t="n">
        <f aca="false">AL13-AL21</f>
        <v>1182014.89205356</v>
      </c>
    </row>
    <row r="24" customFormat="false" ht="15" hidden="false" customHeight="false" outlineLevel="0" collapsed="false">
      <c r="B24" s="8" t="s">
        <v>16</v>
      </c>
      <c r="C24" s="24" t="n">
        <f aca="false">IFERROR(C23/C11,0)</f>
        <v>-1.12352342960948</v>
      </c>
      <c r="D24" s="24" t="n">
        <f aca="false">IFERROR(D23/D11,0)</f>
        <v>-0.476018501919165</v>
      </c>
      <c r="E24" s="24" t="n">
        <f aca="false">IFERROR(E23/E11,0)</f>
        <v>-0.243218050033491</v>
      </c>
      <c r="F24" s="24" t="n">
        <f aca="false">IFERROR(F23/F11,0)</f>
        <v>-0.0882913485747388</v>
      </c>
      <c r="G24" s="24" t="n">
        <f aca="false">IFERROR(G23/G11,0)</f>
        <v>0.0222368765588838</v>
      </c>
      <c r="H24" s="24" t="n">
        <f aca="false">IFERROR(H23/H11,0)</f>
        <v>0.105060041680713</v>
      </c>
      <c r="I24" s="24" t="n">
        <f aca="false">IFERROR(I23/I11,0)</f>
        <v>-0.0110438422846879</v>
      </c>
      <c r="J24" s="24" t="n">
        <f aca="false">IFERROR(J23/J11,0)</f>
        <v>0.058514799739541</v>
      </c>
      <c r="K24" s="24" t="n">
        <f aca="false">IFERROR(K23/K11,0)</f>
        <v>0.115402132807687</v>
      </c>
      <c r="L24" s="24" t="n">
        <f aca="false">IFERROR(L23/L11,0)</f>
        <v>0.1627915588365</v>
      </c>
      <c r="M24" s="24" t="n">
        <f aca="false">IFERROR(M23/M11,0)</f>
        <v>0.202878462471662</v>
      </c>
      <c r="N24" s="24" t="n">
        <f aca="false">IFERROR(N23/N11,0)</f>
        <v>0.237230029703656</v>
      </c>
      <c r="O24" s="24" t="n">
        <f aca="false">IFERROR(O23/O11,0)</f>
        <v>0.265213475501445</v>
      </c>
      <c r="P24" s="24" t="n">
        <f aca="false">IFERROR(P23/P11,0)</f>
        <v>0.295600385679925</v>
      </c>
      <c r="Q24" s="24" t="n">
        <f aca="false">IFERROR(Q23/Q11,0)</f>
        <v>0.32056592854973</v>
      </c>
      <c r="R24" s="24" t="n">
        <f aca="false">IFERROR(R23/R11,0)</f>
        <v>0.323907346283702</v>
      </c>
      <c r="S24" s="24" t="n">
        <f aca="false">IFERROR(S23/S11,0)</f>
        <v>0.342950275493959</v>
      </c>
      <c r="T24" s="24" t="n">
        <f aca="false">IFERROR(T23/T11,0)</f>
        <v>0.359312999661751</v>
      </c>
      <c r="U24" s="24" t="n">
        <f aca="false">IFERROR(U23/U11,0)</f>
        <v>0.373524156957614</v>
      </c>
      <c r="V24" s="24" t="n">
        <f aca="false">IFERROR(V23/V11,0)</f>
        <v>0.385981938566501</v>
      </c>
      <c r="W24" s="24" t="n">
        <f aca="false">IFERROR(W23/W11,0)</f>
        <v>0.396991987170117</v>
      </c>
      <c r="X24" s="24" t="n">
        <f aca="false">IFERROR(X23/X11,0)</f>
        <v>0.355748190152749</v>
      </c>
      <c r="Y24" s="24" t="n">
        <f aca="false">IFERROR(Y23/Y11,0)</f>
        <v>0.36718580919426</v>
      </c>
      <c r="Z24" s="24" t="n">
        <f aca="false">IFERROR(Z23/Z11,0)</f>
        <v>0.377491554067211</v>
      </c>
      <c r="AA24" s="24" t="n">
        <f aca="false">IFERROR(AA23/AA11,0)</f>
        <v>0.394965407868056</v>
      </c>
      <c r="AB24" s="24" t="n">
        <f aca="false">IFERROR(AB23/AB11,0)</f>
        <v>0.408505862027072</v>
      </c>
      <c r="AC24" s="24" t="n">
        <f aca="false">IFERROR(AC23/AC11,0)</f>
        <v>0.411890496638477</v>
      </c>
      <c r="AD24" s="24" t="n">
        <f aca="false">IFERROR(AD23/AD11,0)</f>
        <v>0.422760832916094</v>
      </c>
      <c r="AE24" s="24" t="n">
        <f aca="false">IFERROR(AE23/AE11,0)</f>
        <v>0.432387489024938</v>
      </c>
      <c r="AF24" s="24" t="n">
        <f aca="false">IFERROR(AF23/AF11,0)</f>
        <v>0.440972351054312</v>
      </c>
      <c r="AG24" s="24" t="n">
        <f aca="false">IFERROR(AG23/AG11,0)</f>
        <v>0.448675852000445</v>
      </c>
      <c r="AH24" s="24" t="n">
        <f aca="false">IFERROR(AH23/AH11,0)</f>
        <v>0.45562709169633</v>
      </c>
      <c r="AI24" s="24" t="n">
        <f aca="false">IFERROR(AI23/AI11,0)</f>
        <v>0.435628276811107</v>
      </c>
      <c r="AJ24" s="24" t="n">
        <f aca="false">IFERROR(AJ23/AJ11,0)</f>
        <v>0.442541488515592</v>
      </c>
      <c r="AK24" s="24" t="n">
        <f aca="false">IFERROR(AK23/AK11,0)</f>
        <v>0.448865863672221</v>
      </c>
      <c r="AL24" s="24" t="n">
        <f aca="false">IFERROR(AL23/AL11,0)</f>
        <v>0.454673560913123</v>
      </c>
    </row>
    <row r="26" customFormat="false" ht="15" hidden="false" customHeight="false" outlineLevel="0" collapsed="false">
      <c r="B26" s="8" t="s">
        <v>345</v>
      </c>
      <c r="C26" s="12" t="n">
        <f aca="false">Capex!C11</f>
        <v>1775000</v>
      </c>
      <c r="D26" s="12" t="n">
        <f aca="false">Capex!D11</f>
        <v>0</v>
      </c>
      <c r="E26" s="12" t="n">
        <f aca="false">Capex!E11</f>
        <v>0</v>
      </c>
      <c r="F26" s="12" t="n">
        <f aca="false">Capex!F11</f>
        <v>0</v>
      </c>
      <c r="G26" s="12" t="n">
        <f aca="false">Capex!G11</f>
        <v>0</v>
      </c>
      <c r="H26" s="12" t="n">
        <f aca="false">Capex!H11</f>
        <v>0</v>
      </c>
      <c r="I26" s="12" t="n">
        <f aca="false">Capex!I11</f>
        <v>0</v>
      </c>
      <c r="J26" s="12" t="n">
        <f aca="false">Capex!J11</f>
        <v>0</v>
      </c>
      <c r="K26" s="12" t="n">
        <f aca="false">Capex!K11</f>
        <v>0</v>
      </c>
      <c r="L26" s="12" t="n">
        <f aca="false">Capex!L11</f>
        <v>0</v>
      </c>
      <c r="M26" s="12" t="n">
        <f aca="false">Capex!M11</f>
        <v>0</v>
      </c>
      <c r="N26" s="12" t="n">
        <f aca="false">Capex!N11</f>
        <v>0</v>
      </c>
      <c r="O26" s="12" t="n">
        <f aca="false">Capex!O11</f>
        <v>0</v>
      </c>
      <c r="P26" s="12" t="n">
        <f aca="false">Capex!P11</f>
        <v>0</v>
      </c>
      <c r="Q26" s="12" t="n">
        <f aca="false">Capex!Q11</f>
        <v>0</v>
      </c>
      <c r="R26" s="12" t="n">
        <f aca="false">Capex!R11</f>
        <v>1425000</v>
      </c>
      <c r="S26" s="12" t="n">
        <f aca="false">Capex!S11</f>
        <v>0</v>
      </c>
      <c r="T26" s="12" t="n">
        <f aca="false">Capex!T11</f>
        <v>0</v>
      </c>
      <c r="U26" s="12" t="n">
        <f aca="false">Capex!U11</f>
        <v>0</v>
      </c>
      <c r="V26" s="12" t="n">
        <f aca="false">Capex!V11</f>
        <v>0</v>
      </c>
      <c r="W26" s="12" t="n">
        <f aca="false">Capex!W11</f>
        <v>0</v>
      </c>
      <c r="X26" s="12" t="n">
        <f aca="false">Capex!X11</f>
        <v>0</v>
      </c>
      <c r="Y26" s="12" t="n">
        <f aca="false">Capex!Y11</f>
        <v>0</v>
      </c>
      <c r="Z26" s="12" t="n">
        <f aca="false">Capex!Z11</f>
        <v>0</v>
      </c>
      <c r="AA26" s="12" t="n">
        <f aca="false">Capex!AA11</f>
        <v>0</v>
      </c>
      <c r="AB26" s="12" t="n">
        <f aca="false">Capex!AB11</f>
        <v>0</v>
      </c>
      <c r="AC26" s="12" t="n">
        <f aca="false">Capex!AC11</f>
        <v>1425000</v>
      </c>
      <c r="AD26" s="12" t="n">
        <f aca="false">Capex!AD11</f>
        <v>0</v>
      </c>
      <c r="AE26" s="12" t="n">
        <f aca="false">Capex!AE11</f>
        <v>0</v>
      </c>
      <c r="AF26" s="12" t="n">
        <f aca="false">Capex!AF11</f>
        <v>0</v>
      </c>
      <c r="AG26" s="12" t="n">
        <f aca="false">Capex!AG11</f>
        <v>0</v>
      </c>
      <c r="AH26" s="12" t="n">
        <f aca="false">Capex!AH11</f>
        <v>0</v>
      </c>
      <c r="AI26" s="12" t="n">
        <f aca="false">Capex!AI11</f>
        <v>0</v>
      </c>
      <c r="AJ26" s="12" t="n">
        <f aca="false">Capex!AJ11</f>
        <v>0</v>
      </c>
      <c r="AK26" s="12" t="n">
        <f aca="false">Capex!AK11</f>
        <v>0</v>
      </c>
      <c r="AL26" s="12" t="n">
        <f aca="false">Capex!AL11</f>
        <v>0</v>
      </c>
    </row>
    <row r="27" customFormat="false" ht="15" hidden="false" customHeight="false" outlineLevel="0" collapsed="false">
      <c r="B27" s="10" t="s">
        <v>346</v>
      </c>
      <c r="C27" s="30" t="n">
        <f aca="false">C23-C26</f>
        <v>-1878864.34220159</v>
      </c>
      <c r="D27" s="30" t="n">
        <f aca="false">D23-D26</f>
        <v>-70127.8043513953</v>
      </c>
      <c r="E27" s="30" t="n">
        <f aca="false">E23-E26</f>
        <v>-44836.5468328177</v>
      </c>
      <c r="F27" s="30" t="n">
        <f aca="false">F23-F26</f>
        <v>-19545.2893142401</v>
      </c>
      <c r="G27" s="30" t="n">
        <f aca="false">G23-G26</f>
        <v>5745.96820433761</v>
      </c>
      <c r="H27" s="30" t="n">
        <f aca="false">H23-H26</f>
        <v>31037.2257229152</v>
      </c>
      <c r="I27" s="30" t="n">
        <f aca="false">I23-I26</f>
        <v>-3671.51675850718</v>
      </c>
      <c r="J27" s="30" t="n">
        <f aca="false">J23-J26</f>
        <v>21619.7407600704</v>
      </c>
      <c r="K27" s="30" t="n">
        <f aca="false">K23-K26</f>
        <v>46910.9982786481</v>
      </c>
      <c r="L27" s="30" t="n">
        <f aca="false">L23-L26</f>
        <v>72202.2557972256</v>
      </c>
      <c r="M27" s="30" t="n">
        <f aca="false">M23-M26</f>
        <v>97493.5133158033</v>
      </c>
      <c r="N27" s="30" t="n">
        <f aca="false">N23-N26</f>
        <v>122784.770834381</v>
      </c>
      <c r="O27" s="30" t="n">
        <f aca="false">O23-O26</f>
        <v>157669.547377164</v>
      </c>
      <c r="P27" s="30" t="n">
        <f aca="false">P23-P26</f>
        <v>194815.314032118</v>
      </c>
      <c r="Q27" s="30" t="n">
        <f aca="false">Q23-Q26</f>
        <v>231961.080687073</v>
      </c>
      <c r="R27" s="30" t="n">
        <f aca="false">R23-R26</f>
        <v>-1169713.15265797</v>
      </c>
      <c r="S27" s="30" t="n">
        <f aca="false">S23-S26</f>
        <v>292432.613996983</v>
      </c>
      <c r="T27" s="30" t="n">
        <f aca="false">T23-T26</f>
        <v>329578.380651938</v>
      </c>
      <c r="U27" s="30" t="n">
        <f aca="false">U23-U26</f>
        <v>366724.147306893</v>
      </c>
      <c r="V27" s="30" t="n">
        <f aca="false">V23-V26</f>
        <v>403869.913961848</v>
      </c>
      <c r="W27" s="30" t="n">
        <f aca="false">W23-W26</f>
        <v>441015.680616802</v>
      </c>
      <c r="X27" s="30" t="n">
        <f aca="false">X23-X26</f>
        <v>418161.447271757</v>
      </c>
      <c r="Y27" s="30" t="n">
        <f aca="false">Y23-Y26</f>
        <v>455307.213926712</v>
      </c>
      <c r="Z27" s="30" t="n">
        <f aca="false">Z23-Z26</f>
        <v>492452.980581667</v>
      </c>
      <c r="AA27" s="30" t="n">
        <f aca="false">AA23-AA26</f>
        <v>565423.810784988</v>
      </c>
      <c r="AB27" s="30" t="n">
        <f aca="false">AB23-AB26</f>
        <v>628188.454536676</v>
      </c>
      <c r="AC27" s="30" t="n">
        <f aca="false">AC23-AC26</f>
        <v>-747866.901711636</v>
      </c>
      <c r="AD27" s="30" t="n">
        <f aca="false">AD23-AD26</f>
        <v>739897.742040052</v>
      </c>
      <c r="AE27" s="30" t="n">
        <f aca="false">AE23-AE26</f>
        <v>802662.38579174</v>
      </c>
      <c r="AF27" s="30" t="n">
        <f aca="false">AF23-AF26</f>
        <v>865427.029543428</v>
      </c>
      <c r="AG27" s="30" t="n">
        <f aca="false">AG23-AG26</f>
        <v>928191.673295116</v>
      </c>
      <c r="AH27" s="30" t="n">
        <f aca="false">AH23-AH26</f>
        <v>990956.317046804</v>
      </c>
      <c r="AI27" s="30" t="n">
        <f aca="false">AI23-AI26</f>
        <v>993720.960798492</v>
      </c>
      <c r="AJ27" s="30" t="n">
        <f aca="false">AJ23-AJ26</f>
        <v>1056485.60455018</v>
      </c>
      <c r="AK27" s="30" t="n">
        <f aca="false">AK23-AK26</f>
        <v>1119250.24830187</v>
      </c>
      <c r="AL27" s="30" t="n">
        <f aca="false">AL23-AL26</f>
        <v>1182014.89205356</v>
      </c>
    </row>
    <row r="28" customFormat="false" ht="15" hidden="false" customHeight="false" outlineLevel="0" collapsed="false">
      <c r="B28" s="8" t="s">
        <v>347</v>
      </c>
      <c r="C28" s="21" t="n">
        <f aca="false">C27</f>
        <v>-1878864.34220159</v>
      </c>
      <c r="D28" s="21" t="n">
        <f aca="false">C28+D27</f>
        <v>-1948992.14655299</v>
      </c>
      <c r="E28" s="21" t="n">
        <f aca="false">D28+E27</f>
        <v>-1993828.69338581</v>
      </c>
      <c r="F28" s="21" t="n">
        <f aca="false">E28+F27</f>
        <v>-2013373.98270005</v>
      </c>
      <c r="G28" s="21" t="n">
        <f aca="false">F28+G27</f>
        <v>-2007628.01449571</v>
      </c>
      <c r="H28" s="21" t="n">
        <f aca="false">G28+H27</f>
        <v>-1976590.78877279</v>
      </c>
      <c r="I28" s="21" t="n">
        <f aca="false">H28+I27</f>
        <v>-1980262.3055313</v>
      </c>
      <c r="J28" s="21" t="n">
        <f aca="false">I28+J27</f>
        <v>-1958642.56477123</v>
      </c>
      <c r="K28" s="21" t="n">
        <f aca="false">J28+K27</f>
        <v>-1911731.56649258</v>
      </c>
      <c r="L28" s="21" t="n">
        <f aca="false">K28+L27</f>
        <v>-1839529.31069536</v>
      </c>
      <c r="M28" s="21" t="n">
        <f aca="false">L28+M27</f>
        <v>-1742035.79737955</v>
      </c>
      <c r="N28" s="21" t="n">
        <f aca="false">M28+N27</f>
        <v>-1619251.02654517</v>
      </c>
      <c r="O28" s="21" t="n">
        <f aca="false">N28+O27</f>
        <v>-1461581.47916801</v>
      </c>
      <c r="P28" s="21" t="n">
        <f aca="false">O28+P27</f>
        <v>-1266766.16513589</v>
      </c>
      <c r="Q28" s="21" t="n">
        <f aca="false">P28+Q27</f>
        <v>-1034805.08444882</v>
      </c>
      <c r="R28" s="21" t="n">
        <f aca="false">Q28+R27</f>
        <v>-2204518.23710679</v>
      </c>
      <c r="S28" s="21" t="n">
        <f aca="false">R28+S27</f>
        <v>-1912085.62310981</v>
      </c>
      <c r="T28" s="21" t="n">
        <f aca="false">S28+T27</f>
        <v>-1582507.24245787</v>
      </c>
      <c r="U28" s="21" t="n">
        <f aca="false">T28+U27</f>
        <v>-1215783.09515098</v>
      </c>
      <c r="V28" s="21" t="n">
        <f aca="false">U28+V27</f>
        <v>-811913.181189128</v>
      </c>
      <c r="W28" s="21" t="n">
        <f aca="false">V28+W27</f>
        <v>-370897.500572326</v>
      </c>
      <c r="X28" s="21" t="n">
        <f aca="false">W28+X27</f>
        <v>47263.9466994316</v>
      </c>
      <c r="Y28" s="21" t="n">
        <f aca="false">X28+Y27</f>
        <v>502571.160626144</v>
      </c>
      <c r="Z28" s="21" t="n">
        <f aca="false">Y28+Z27</f>
        <v>995024.141207811</v>
      </c>
      <c r="AA28" s="21" t="n">
        <f aca="false">Z28+AA27</f>
        <v>1560447.9519928</v>
      </c>
      <c r="AB28" s="21" t="n">
        <f aca="false">AA28+AB27</f>
        <v>2188636.40652948</v>
      </c>
      <c r="AC28" s="21" t="n">
        <f aca="false">AB28+AC27</f>
        <v>1440769.50481784</v>
      </c>
      <c r="AD28" s="21" t="n">
        <f aca="false">AC28+AD27</f>
        <v>2180667.24685789</v>
      </c>
      <c r="AE28" s="21" t="n">
        <f aca="false">AD28+AE27</f>
        <v>2983329.63264963</v>
      </c>
      <c r="AF28" s="21" t="n">
        <f aca="false">AE28+AF27</f>
        <v>3848756.66219306</v>
      </c>
      <c r="AG28" s="21" t="n">
        <f aca="false">AF28+AG27</f>
        <v>4776948.33548818</v>
      </c>
      <c r="AH28" s="21" t="n">
        <f aca="false">AG28+AH27</f>
        <v>5767904.65253498</v>
      </c>
      <c r="AI28" s="21" t="n">
        <f aca="false">AH28+AI27</f>
        <v>6761625.61333347</v>
      </c>
      <c r="AJ28" s="21" t="n">
        <f aca="false">AI28+AJ27</f>
        <v>7818111.21788365</v>
      </c>
      <c r="AK28" s="21" t="n">
        <f aca="false">AJ28+AK27</f>
        <v>8937361.46618552</v>
      </c>
      <c r="AL28" s="21" t="n">
        <f aca="false">AK28+AL27</f>
        <v>10119376.3582391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2026-05-01T18:21:36Z</dcterms:created>
  <dc:creator>openpyxl</dc:creator>
  <dc:description/>
  <dc:language>en-US</dc:language>
  <cp:lastModifiedBy/>
  <dcterms:modified xsi:type="dcterms:W3CDTF">2026-05-01T18:21:36Z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